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320" windowHeight="11700" activeTab="5"/>
  </bookViews>
  <sheets>
    <sheet name="FACTURA" sheetId="3" r:id="rId1"/>
    <sheet name="FISCAL" sheetId="4" r:id="rId2"/>
    <sheet name="SINDICAL" sheetId="5" r:id="rId3"/>
    <sheet name="Hoja1" sheetId="1" r:id="rId4"/>
    <sheet name="POLIZA" sheetId="2" r:id="rId5"/>
    <sheet name="DISPERSIONES" sheetId="6" r:id="rId6"/>
  </sheets>
  <externalReferences>
    <externalReference r:id="rId7"/>
  </externalReferences>
  <definedNames>
    <definedName name="_xlnm._FilterDatabase" localSheetId="0" hidden="1">FACTURA!$A$11:$AW$55</definedName>
    <definedName name="_xlnm._FilterDatabase" localSheetId="3" hidden="1">Hoja1!$A$5:$AB$49</definedName>
  </definedNames>
  <calcPr calcId="124519"/>
</workbook>
</file>

<file path=xl/calcChain.xml><?xml version="1.0" encoding="utf-8"?>
<calcChain xmlns="http://schemas.openxmlformats.org/spreadsheetml/2006/main">
  <c r="G46" i="6"/>
  <c r="G47"/>
  <c r="G48"/>
  <c r="G49"/>
  <c r="G50"/>
  <c r="G51"/>
  <c r="G52"/>
  <c r="G53"/>
  <c r="G54"/>
  <c r="G55"/>
  <c r="G56"/>
  <c r="G57"/>
  <c r="G29"/>
  <c r="G30"/>
  <c r="G31"/>
  <c r="G32"/>
  <c r="G33"/>
  <c r="G34"/>
  <c r="G35"/>
  <c r="G36"/>
  <c r="G37"/>
  <c r="G38"/>
  <c r="G39"/>
  <c r="G40"/>
  <c r="G41"/>
  <c r="G42"/>
  <c r="G43"/>
  <c r="G4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3"/>
  <c r="D49"/>
  <c r="D50"/>
  <c r="D51"/>
  <c r="D52"/>
  <c r="D53"/>
  <c r="D54"/>
  <c r="D55"/>
  <c r="D56"/>
  <c r="D57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G45" s="1"/>
  <c r="D46"/>
  <c r="D47"/>
  <c r="D48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3"/>
  <c r="C42"/>
  <c r="C43"/>
  <c r="C44"/>
  <c r="C46"/>
  <c r="C47"/>
  <c r="C48"/>
  <c r="C49"/>
  <c r="C50"/>
  <c r="C51"/>
  <c r="C52"/>
  <c r="C53"/>
  <c r="C54"/>
  <c r="C55"/>
  <c r="C56"/>
  <c r="C57"/>
  <c r="C25"/>
  <c r="C26"/>
  <c r="C27"/>
  <c r="C28"/>
  <c r="C29"/>
  <c r="C30"/>
  <c r="C31"/>
  <c r="C32"/>
  <c r="C33"/>
  <c r="C34"/>
  <c r="C35"/>
  <c r="C36"/>
  <c r="C37"/>
  <c r="C38"/>
  <c r="C39"/>
  <c r="C40"/>
  <c r="C4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3"/>
  <c r="B46"/>
  <c r="B47"/>
  <c r="B48"/>
  <c r="B49"/>
  <c r="B50"/>
  <c r="B51"/>
  <c r="B52"/>
  <c r="B53"/>
  <c r="B54"/>
  <c r="B55"/>
  <c r="B56"/>
  <c r="B57"/>
  <c r="B31"/>
  <c r="B32"/>
  <c r="B33"/>
  <c r="B34"/>
  <c r="B35"/>
  <c r="B36"/>
  <c r="B37"/>
  <c r="B38"/>
  <c r="B39"/>
  <c r="B40"/>
  <c r="B41"/>
  <c r="B42"/>
  <c r="B43"/>
  <c r="B44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45"/>
  <c r="B3"/>
  <c r="A46"/>
  <c r="A47"/>
  <c r="A48"/>
  <c r="A49"/>
  <c r="A50"/>
  <c r="A51"/>
  <c r="A52"/>
  <c r="A53"/>
  <c r="A54"/>
  <c r="A55"/>
  <c r="A56"/>
  <c r="A57"/>
  <c r="A45"/>
  <c r="A40"/>
  <c r="A41"/>
  <c r="A42"/>
  <c r="A43"/>
  <c r="A44"/>
  <c r="A31"/>
  <c r="A32"/>
  <c r="A33"/>
  <c r="A34"/>
  <c r="A35"/>
  <c r="A36"/>
  <c r="A37"/>
  <c r="A38"/>
  <c r="A39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"/>
  <c r="B11" i="2" l="1"/>
  <c r="B6"/>
  <c r="B36" l="1"/>
  <c r="B37" s="1"/>
  <c r="B14"/>
  <c r="B15" s="1"/>
  <c r="B16" l="1"/>
  <c r="B18" s="1"/>
  <c r="B38"/>
  <c r="B40" s="1"/>
  <c r="I70" i="3" l="1"/>
  <c r="I69"/>
  <c r="I68"/>
  <c r="I67"/>
  <c r="I66"/>
  <c r="I65"/>
  <c r="I64"/>
  <c r="I63"/>
  <c r="I62"/>
  <c r="I61"/>
  <c r="I60"/>
  <c r="I59"/>
  <c r="I58"/>
  <c r="I7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12"/>
  <c r="S53" i="1"/>
  <c r="S51"/>
  <c r="D54" i="5"/>
  <c r="G54"/>
  <c r="B4"/>
  <c r="Q70" i="4"/>
  <c r="Q69"/>
  <c r="Q68"/>
  <c r="Q67"/>
  <c r="Q66"/>
  <c r="Q65"/>
  <c r="Q64"/>
  <c r="Q63"/>
  <c r="Q62"/>
  <c r="Q61"/>
  <c r="Q60"/>
  <c r="Q59"/>
  <c r="Q58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12"/>
  <c r="E28" i="5"/>
  <c r="E24"/>
  <c r="P70" i="3"/>
  <c r="Q69"/>
  <c r="P69"/>
  <c r="R69"/>
  <c r="P68"/>
  <c r="Q67"/>
  <c r="P67"/>
  <c r="R67"/>
  <c r="P66"/>
  <c r="Q65"/>
  <c r="P65"/>
  <c r="R65"/>
  <c r="P64"/>
  <c r="Q63"/>
  <c r="P63"/>
  <c r="R63"/>
  <c r="P62"/>
  <c r="Q61"/>
  <c r="P61"/>
  <c r="R61"/>
  <c r="P60"/>
  <c r="Q59"/>
  <c r="P59"/>
  <c r="R59"/>
  <c r="P58"/>
  <c r="P72"/>
  <c r="K64"/>
  <c r="J64"/>
  <c r="K63"/>
  <c r="J63"/>
  <c r="K51"/>
  <c r="K50"/>
  <c r="J50"/>
  <c r="K47"/>
  <c r="K46"/>
  <c r="J46"/>
  <c r="K43"/>
  <c r="K42"/>
  <c r="J42"/>
  <c r="K39"/>
  <c r="K38"/>
  <c r="J38"/>
  <c r="K35"/>
  <c r="K34"/>
  <c r="J34"/>
  <c r="K31"/>
  <c r="K30"/>
  <c r="J30"/>
  <c r="K27"/>
  <c r="K26"/>
  <c r="J26"/>
  <c r="K23"/>
  <c r="K22"/>
  <c r="J22"/>
  <c r="K19"/>
  <c r="K18"/>
  <c r="J18"/>
  <c r="K15"/>
  <c r="K14"/>
  <c r="J14"/>
  <c r="K13"/>
  <c r="H70"/>
  <c r="H69"/>
  <c r="H68"/>
  <c r="K68" s="1"/>
  <c r="H67"/>
  <c r="K67" s="1"/>
  <c r="H66"/>
  <c r="J66" s="1"/>
  <c r="H65"/>
  <c r="J65" s="1"/>
  <c r="H64"/>
  <c r="L64" s="1"/>
  <c r="H63"/>
  <c r="L63" s="1"/>
  <c r="H62"/>
  <c r="H61"/>
  <c r="H60"/>
  <c r="K60" s="1"/>
  <c r="H59"/>
  <c r="K59" s="1"/>
  <c r="H58"/>
  <c r="H72" s="1"/>
  <c r="H13"/>
  <c r="H14"/>
  <c r="H15"/>
  <c r="J15" s="1"/>
  <c r="H16"/>
  <c r="H17"/>
  <c r="J17" s="1"/>
  <c r="H18"/>
  <c r="H19"/>
  <c r="J19" s="1"/>
  <c r="H20"/>
  <c r="H21"/>
  <c r="J21" s="1"/>
  <c r="H22"/>
  <c r="H23"/>
  <c r="J23" s="1"/>
  <c r="H24"/>
  <c r="H25"/>
  <c r="J25" s="1"/>
  <c r="H26"/>
  <c r="H27"/>
  <c r="J27" s="1"/>
  <c r="H28"/>
  <c r="H29"/>
  <c r="J29" s="1"/>
  <c r="H30"/>
  <c r="H31"/>
  <c r="J31" s="1"/>
  <c r="H32"/>
  <c r="H33"/>
  <c r="J33" s="1"/>
  <c r="H34"/>
  <c r="H35"/>
  <c r="J35" s="1"/>
  <c r="H36"/>
  <c r="H37"/>
  <c r="J37" s="1"/>
  <c r="H38"/>
  <c r="H39"/>
  <c r="J39" s="1"/>
  <c r="H40"/>
  <c r="H41"/>
  <c r="J41" s="1"/>
  <c r="H42"/>
  <c r="H43"/>
  <c r="J43" s="1"/>
  <c r="H44"/>
  <c r="H45"/>
  <c r="J45" s="1"/>
  <c r="H46"/>
  <c r="H47"/>
  <c r="J47" s="1"/>
  <c r="H48"/>
  <c r="H49"/>
  <c r="J49" s="1"/>
  <c r="H50"/>
  <c r="H51"/>
  <c r="J51" s="1"/>
  <c r="H52"/>
  <c r="H53"/>
  <c r="J53" s="1"/>
  <c r="H12"/>
  <c r="K12" s="1"/>
  <c r="E72"/>
  <c r="D55"/>
  <c r="E53"/>
  <c r="C53" i="5" s="1"/>
  <c r="E53" s="1"/>
  <c r="E13" i="3"/>
  <c r="P13" s="1"/>
  <c r="E14"/>
  <c r="C14" i="5" s="1"/>
  <c r="E14" s="1"/>
  <c r="F14" s="1"/>
  <c r="H14" s="1"/>
  <c r="I14" s="1"/>
  <c r="E15" i="3"/>
  <c r="P15" s="1"/>
  <c r="E16"/>
  <c r="C16" i="5" s="1"/>
  <c r="E16" s="1"/>
  <c r="F16" s="1"/>
  <c r="H16" s="1"/>
  <c r="I16" s="1"/>
  <c r="E17" i="3"/>
  <c r="P17" s="1"/>
  <c r="E18"/>
  <c r="C18" i="5" s="1"/>
  <c r="E18" s="1"/>
  <c r="F18" s="1"/>
  <c r="H18" s="1"/>
  <c r="I18" s="1"/>
  <c r="E19" i="3"/>
  <c r="P19" s="1"/>
  <c r="E20"/>
  <c r="C20" i="5" s="1"/>
  <c r="E20" s="1"/>
  <c r="F20" s="1"/>
  <c r="H20" s="1"/>
  <c r="I20" s="1"/>
  <c r="E21" i="3"/>
  <c r="P21" s="1"/>
  <c r="E22"/>
  <c r="C22" i="5" s="1"/>
  <c r="E22" s="1"/>
  <c r="F22" s="1"/>
  <c r="H22" s="1"/>
  <c r="I22" s="1"/>
  <c r="E23" i="3"/>
  <c r="P23" s="1"/>
  <c r="E24"/>
  <c r="P24" s="1"/>
  <c r="E25"/>
  <c r="P25" s="1"/>
  <c r="E26"/>
  <c r="C26" i="5" s="1"/>
  <c r="E26" s="1"/>
  <c r="F26" s="1"/>
  <c r="H26" s="1"/>
  <c r="I26" s="1"/>
  <c r="E27" i="3"/>
  <c r="P27" s="1"/>
  <c r="E28"/>
  <c r="F28" s="1"/>
  <c r="E29"/>
  <c r="C29" i="5" s="1"/>
  <c r="E29" s="1"/>
  <c r="F29" s="1"/>
  <c r="H29" s="1"/>
  <c r="I29" s="1"/>
  <c r="E30" i="3"/>
  <c r="C30" i="5" s="1"/>
  <c r="E30" s="1"/>
  <c r="F30" s="1"/>
  <c r="H30" s="1"/>
  <c r="I30" s="1"/>
  <c r="E31" i="3"/>
  <c r="P31" s="1"/>
  <c r="E32"/>
  <c r="C32" i="5" s="1"/>
  <c r="E32" s="1"/>
  <c r="F32" s="1"/>
  <c r="H32" s="1"/>
  <c r="I32" s="1"/>
  <c r="E33" i="3"/>
  <c r="P33" s="1"/>
  <c r="E34"/>
  <c r="C34" i="5" s="1"/>
  <c r="E34" s="1"/>
  <c r="F34" s="1"/>
  <c r="H34" s="1"/>
  <c r="I34" s="1"/>
  <c r="E35" i="3"/>
  <c r="P35" s="1"/>
  <c r="E36"/>
  <c r="F36" s="1"/>
  <c r="E37"/>
  <c r="C37" i="5" s="1"/>
  <c r="E37" s="1"/>
  <c r="F37" s="1"/>
  <c r="H37" s="1"/>
  <c r="I37" s="1"/>
  <c r="E38" i="3"/>
  <c r="C38" i="5" s="1"/>
  <c r="E38" s="1"/>
  <c r="F38" s="1"/>
  <c r="H38" s="1"/>
  <c r="I38" s="1"/>
  <c r="E39" i="3"/>
  <c r="P39" s="1"/>
  <c r="E40"/>
  <c r="P40" s="1"/>
  <c r="E41"/>
  <c r="C41" i="5" s="1"/>
  <c r="E41" s="1"/>
  <c r="E42" i="3"/>
  <c r="C42" i="5" s="1"/>
  <c r="E42" s="1"/>
  <c r="F42" s="1"/>
  <c r="H42" s="1"/>
  <c r="I42" s="1"/>
  <c r="E43" i="3"/>
  <c r="P43" s="1"/>
  <c r="E44"/>
  <c r="F44" s="1"/>
  <c r="E45"/>
  <c r="C45" i="5" s="1"/>
  <c r="E45" s="1"/>
  <c r="E46" i="3"/>
  <c r="C46" i="5" s="1"/>
  <c r="E46" s="1"/>
  <c r="F46" s="1"/>
  <c r="H46" s="1"/>
  <c r="I46" s="1"/>
  <c r="E47" i="3"/>
  <c r="P47" s="1"/>
  <c r="E48"/>
  <c r="C48" i="5" s="1"/>
  <c r="E48" s="1"/>
  <c r="F48" s="1"/>
  <c r="H48" s="1"/>
  <c r="I48" s="1"/>
  <c r="E49" i="3"/>
  <c r="C49" i="5" s="1"/>
  <c r="E49" s="1"/>
  <c r="E50" i="3"/>
  <c r="C50" i="5" s="1"/>
  <c r="E50" s="1"/>
  <c r="F50" s="1"/>
  <c r="H50" s="1"/>
  <c r="I50" s="1"/>
  <c r="E51" i="3"/>
  <c r="P51" s="1"/>
  <c r="E52"/>
  <c r="C52" i="5" s="1"/>
  <c r="E52" s="1"/>
  <c r="F52" s="1"/>
  <c r="H52" s="1"/>
  <c r="I52" s="1"/>
  <c r="E12" i="3"/>
  <c r="P12" s="1"/>
  <c r="D70"/>
  <c r="D59"/>
  <c r="D60"/>
  <c r="D61"/>
  <c r="D62"/>
  <c r="D63"/>
  <c r="D64"/>
  <c r="D65"/>
  <c r="D66"/>
  <c r="D67"/>
  <c r="D68"/>
  <c r="D69"/>
  <c r="D58"/>
  <c r="F58" s="1"/>
  <c r="C59"/>
  <c r="F59" s="1"/>
  <c r="C60"/>
  <c r="F60" s="1"/>
  <c r="C61"/>
  <c r="F61" s="1"/>
  <c r="C62"/>
  <c r="F62" s="1"/>
  <c r="C63"/>
  <c r="F63" s="1"/>
  <c r="C64"/>
  <c r="F64" s="1"/>
  <c r="C65"/>
  <c r="F65" s="1"/>
  <c r="C66"/>
  <c r="F66" s="1"/>
  <c r="C67"/>
  <c r="F67" s="1"/>
  <c r="C68"/>
  <c r="F68" s="1"/>
  <c r="C69"/>
  <c r="F69" s="1"/>
  <c r="C70"/>
  <c r="F70" s="1"/>
  <c r="C58"/>
  <c r="C72" s="1"/>
  <c r="C53"/>
  <c r="C13"/>
  <c r="F13" s="1"/>
  <c r="C14"/>
  <c r="F14" s="1"/>
  <c r="C15"/>
  <c r="C16"/>
  <c r="C17"/>
  <c r="F17" s="1"/>
  <c r="C18"/>
  <c r="F18" s="1"/>
  <c r="C19"/>
  <c r="C20"/>
  <c r="C21"/>
  <c r="F21" s="1"/>
  <c r="C22"/>
  <c r="F22" s="1"/>
  <c r="C23"/>
  <c r="C24"/>
  <c r="C25"/>
  <c r="F25" s="1"/>
  <c r="C26"/>
  <c r="F26" s="1"/>
  <c r="C27"/>
  <c r="C28"/>
  <c r="C29"/>
  <c r="F29" s="1"/>
  <c r="C30"/>
  <c r="F30" s="1"/>
  <c r="C31"/>
  <c r="C32"/>
  <c r="C33"/>
  <c r="F33" s="1"/>
  <c r="C34"/>
  <c r="F34" s="1"/>
  <c r="C35"/>
  <c r="C36"/>
  <c r="C37"/>
  <c r="F37" s="1"/>
  <c r="C38"/>
  <c r="F38" s="1"/>
  <c r="C39"/>
  <c r="C40"/>
  <c r="C41"/>
  <c r="F41" s="1"/>
  <c r="C42"/>
  <c r="F42" s="1"/>
  <c r="C43"/>
  <c r="C44"/>
  <c r="C45"/>
  <c r="F45" s="1"/>
  <c r="C46"/>
  <c r="F46" s="1"/>
  <c r="C47"/>
  <c r="C48"/>
  <c r="C49"/>
  <c r="F49" s="1"/>
  <c r="C50"/>
  <c r="F50" s="1"/>
  <c r="C51"/>
  <c r="C52"/>
  <c r="C12"/>
  <c r="F12" s="1"/>
  <c r="S70"/>
  <c r="S69"/>
  <c r="S68"/>
  <c r="S67"/>
  <c r="S66"/>
  <c r="S65"/>
  <c r="S64"/>
  <c r="S63"/>
  <c r="S62"/>
  <c r="S61"/>
  <c r="S60"/>
  <c r="S59"/>
  <c r="S58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12"/>
  <c r="AC65"/>
  <c r="AK65"/>
  <c r="AJ56"/>
  <c r="AI56"/>
  <c r="AH56"/>
  <c r="AG56"/>
  <c r="AF56"/>
  <c r="AE56"/>
  <c r="AD56"/>
  <c r="AB56"/>
  <c r="AA56"/>
  <c r="Z56"/>
  <c r="Y56"/>
  <c r="AN54"/>
  <c r="AP54" s="1"/>
  <c r="AO53"/>
  <c r="AC53"/>
  <c r="AK53" s="1"/>
  <c r="AO52"/>
  <c r="AC52"/>
  <c r="AN52" s="1"/>
  <c r="AC51"/>
  <c r="AK51" s="1"/>
  <c r="AO50"/>
  <c r="AC50"/>
  <c r="AK50" s="1"/>
  <c r="AO49"/>
  <c r="AC49"/>
  <c r="AC48"/>
  <c r="AK48" s="1"/>
  <c r="AM48" s="1"/>
  <c r="AC47"/>
  <c r="AK47" s="1"/>
  <c r="AM47" s="1"/>
  <c r="AO46"/>
  <c r="AC46"/>
  <c r="AK46" s="1"/>
  <c r="AO45"/>
  <c r="AC45"/>
  <c r="AK45" s="1"/>
  <c r="AO44"/>
  <c r="AC44"/>
  <c r="AK44" s="1"/>
  <c r="AO43"/>
  <c r="AC43"/>
  <c r="AK43" s="1"/>
  <c r="AC42"/>
  <c r="AK42" s="1"/>
  <c r="AO41"/>
  <c r="AC41"/>
  <c r="AK41" s="1"/>
  <c r="AO40"/>
  <c r="AC40"/>
  <c r="AK40" s="1"/>
  <c r="AC39"/>
  <c r="AK39" s="1"/>
  <c r="AM39" s="1"/>
  <c r="AO38"/>
  <c r="AC38"/>
  <c r="AN38" s="1"/>
  <c r="AO37"/>
  <c r="AC37"/>
  <c r="AL37" s="1"/>
  <c r="AO36"/>
  <c r="AC36"/>
  <c r="AN36" s="1"/>
  <c r="AO35"/>
  <c r="AC35"/>
  <c r="AK35" s="1"/>
  <c r="AC34"/>
  <c r="AL34" s="1"/>
  <c r="AO33"/>
  <c r="AC33"/>
  <c r="AK33" s="1"/>
  <c r="AO32"/>
  <c r="AC32"/>
  <c r="AK32" s="1"/>
  <c r="AO31"/>
  <c r="AC31"/>
  <c r="AK31" s="1"/>
  <c r="AC30"/>
  <c r="AK30" s="1"/>
  <c r="AM30" s="1"/>
  <c r="AO29"/>
  <c r="AC29"/>
  <c r="AK29" s="1"/>
  <c r="AO28"/>
  <c r="AC28"/>
  <c r="AK28" s="1"/>
  <c r="AO27"/>
  <c r="AC27"/>
  <c r="AK27" s="1"/>
  <c r="AO26"/>
  <c r="AC26"/>
  <c r="AN26" s="1"/>
  <c r="AC25"/>
  <c r="AK25" s="1"/>
  <c r="AM25" s="1"/>
  <c r="AC24"/>
  <c r="AN24" s="1"/>
  <c r="AO23"/>
  <c r="AC23"/>
  <c r="AN23" s="1"/>
  <c r="AC22"/>
  <c r="AK22" s="1"/>
  <c r="AM22" s="1"/>
  <c r="AC21"/>
  <c r="AK21" s="1"/>
  <c r="AM21" s="1"/>
  <c r="AO20"/>
  <c r="AC20"/>
  <c r="AK20" s="1"/>
  <c r="AC19"/>
  <c r="AL19" s="1"/>
  <c r="AO18"/>
  <c r="AC18"/>
  <c r="AK18" s="1"/>
  <c r="AC17"/>
  <c r="AK17" s="1"/>
  <c r="AM17" s="1"/>
  <c r="AO16"/>
  <c r="AC16"/>
  <c r="AL16" s="1"/>
  <c r="AO15"/>
  <c r="AC15"/>
  <c r="AN15" s="1"/>
  <c r="AO14"/>
  <c r="AC14"/>
  <c r="AK14" s="1"/>
  <c r="AC13"/>
  <c r="AK13" s="1"/>
  <c r="AM13" s="1"/>
  <c r="AC12"/>
  <c r="AK12" s="1"/>
  <c r="AM12" s="1"/>
  <c r="AC55" i="1"/>
  <c r="AC56"/>
  <c r="AC57"/>
  <c r="AC58"/>
  <c r="AC59"/>
  <c r="AC60"/>
  <c r="AC61"/>
  <c r="AC62"/>
  <c r="AC63"/>
  <c r="AC64"/>
  <c r="AC65"/>
  <c r="AC66"/>
  <c r="AC54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7"/>
  <c r="F24" i="5"/>
  <c r="F28"/>
  <c r="R60" i="3"/>
  <c r="R68"/>
  <c r="Q58"/>
  <c r="Q60"/>
  <c r="Q62"/>
  <c r="R62"/>
  <c r="Q64"/>
  <c r="R64"/>
  <c r="Q66"/>
  <c r="R66"/>
  <c r="Q68"/>
  <c r="Q70"/>
  <c r="R70"/>
  <c r="AN20"/>
  <c r="AM65"/>
  <c r="AN65"/>
  <c r="AP65"/>
  <c r="AL65"/>
  <c r="AL41"/>
  <c r="AL42"/>
  <c r="AL50"/>
  <c r="AL51"/>
  <c r="AL33"/>
  <c r="AN43"/>
  <c r="AP43" s="1"/>
  <c r="AN45"/>
  <c r="AP45" s="1"/>
  <c r="AL52"/>
  <c r="AL53"/>
  <c r="AN53"/>
  <c r="AP53" s="1"/>
  <c r="H28" i="5"/>
  <c r="I28"/>
  <c r="H24"/>
  <c r="Q72" i="3"/>
  <c r="R58"/>
  <c r="R72"/>
  <c r="I24" i="5"/>
  <c r="J43" i="1"/>
  <c r="R43"/>
  <c r="T43"/>
  <c r="F51"/>
  <c r="J29"/>
  <c r="R29"/>
  <c r="S29"/>
  <c r="T29"/>
  <c r="J44"/>
  <c r="J45"/>
  <c r="J46"/>
  <c r="J47"/>
  <c r="J7"/>
  <c r="R7"/>
  <c r="T7"/>
  <c r="J14"/>
  <c r="S14"/>
  <c r="R14"/>
  <c r="T14"/>
  <c r="I51"/>
  <c r="P51"/>
  <c r="J17"/>
  <c r="R17"/>
  <c r="T17"/>
  <c r="J20"/>
  <c r="R20"/>
  <c r="T20"/>
  <c r="K51"/>
  <c r="S46"/>
  <c r="U46"/>
  <c r="R46"/>
  <c r="T46"/>
  <c r="J42"/>
  <c r="R42"/>
  <c r="T42"/>
  <c r="J37"/>
  <c r="J25"/>
  <c r="J12"/>
  <c r="R12"/>
  <c r="T12"/>
  <c r="J19"/>
  <c r="R19"/>
  <c r="J8"/>
  <c r="R8"/>
  <c r="T8"/>
  <c r="J34"/>
  <c r="R34"/>
  <c r="T34"/>
  <c r="J16"/>
  <c r="R16"/>
  <c r="T16"/>
  <c r="U37"/>
  <c r="R37"/>
  <c r="R25"/>
  <c r="T25"/>
  <c r="S19"/>
  <c r="T19"/>
  <c r="S37"/>
  <c r="U19"/>
  <c r="T37"/>
  <c r="V26"/>
  <c r="W26" s="1"/>
  <c r="J26"/>
  <c r="V44"/>
  <c r="U44"/>
  <c r="W44"/>
  <c r="R44"/>
  <c r="S26"/>
  <c r="R26"/>
  <c r="U26"/>
  <c r="S44"/>
  <c r="T26"/>
  <c r="T44"/>
  <c r="J61"/>
  <c r="R61"/>
  <c r="T61"/>
  <c r="O51"/>
  <c r="N51"/>
  <c r="M51"/>
  <c r="L51"/>
  <c r="H51"/>
  <c r="G51"/>
  <c r="V48"/>
  <c r="J48"/>
  <c r="R48"/>
  <c r="V47"/>
  <c r="R47"/>
  <c r="V45"/>
  <c r="R45"/>
  <c r="V41"/>
  <c r="W41" s="1"/>
  <c r="J41"/>
  <c r="R41"/>
  <c r="V40"/>
  <c r="J40"/>
  <c r="R40"/>
  <c r="V39"/>
  <c r="W39" s="1"/>
  <c r="J39"/>
  <c r="V38"/>
  <c r="J38"/>
  <c r="R38"/>
  <c r="V36"/>
  <c r="W36" s="1"/>
  <c r="J36"/>
  <c r="R36"/>
  <c r="V35"/>
  <c r="J35"/>
  <c r="R35"/>
  <c r="V33"/>
  <c r="W33" s="1"/>
  <c r="J33"/>
  <c r="R33"/>
  <c r="V32"/>
  <c r="W32" s="1"/>
  <c r="J32"/>
  <c r="U32"/>
  <c r="V31"/>
  <c r="W31" s="1"/>
  <c r="J31"/>
  <c r="U31"/>
  <c r="V30"/>
  <c r="J30"/>
  <c r="U30"/>
  <c r="V28"/>
  <c r="W28" s="1"/>
  <c r="J28"/>
  <c r="U28"/>
  <c r="V27"/>
  <c r="W27" s="1"/>
  <c r="J27"/>
  <c r="U27"/>
  <c r="V24"/>
  <c r="J24"/>
  <c r="R24"/>
  <c r="V23"/>
  <c r="J23"/>
  <c r="V22"/>
  <c r="W22" s="1"/>
  <c r="Q51"/>
  <c r="J22"/>
  <c r="V21"/>
  <c r="J21"/>
  <c r="R21"/>
  <c r="V18"/>
  <c r="W18" s="1"/>
  <c r="J18"/>
  <c r="V15"/>
  <c r="W15" s="1"/>
  <c r="J15"/>
  <c r="V13"/>
  <c r="W13" s="1"/>
  <c r="J13"/>
  <c r="V11"/>
  <c r="W11" s="1"/>
  <c r="J11"/>
  <c r="U11"/>
  <c r="V10"/>
  <c r="J10"/>
  <c r="U10"/>
  <c r="V9"/>
  <c r="W9" s="1"/>
  <c r="J9"/>
  <c r="R22"/>
  <c r="U15"/>
  <c r="R15"/>
  <c r="U13"/>
  <c r="R13"/>
  <c r="U18"/>
  <c r="R18"/>
  <c r="U23"/>
  <c r="W23"/>
  <c r="R23"/>
  <c r="R39"/>
  <c r="J51"/>
  <c r="U48"/>
  <c r="W48"/>
  <c r="R27"/>
  <c r="S48"/>
  <c r="T48"/>
  <c r="Z48"/>
  <c r="R30"/>
  <c r="R32"/>
  <c r="R31"/>
  <c r="R10"/>
  <c r="S11"/>
  <c r="S13"/>
  <c r="S15"/>
  <c r="S18"/>
  <c r="S10"/>
  <c r="U24"/>
  <c r="W24"/>
  <c r="R11"/>
  <c r="R9"/>
  <c r="S9"/>
  <c r="W10"/>
  <c r="U21"/>
  <c r="W21"/>
  <c r="S23"/>
  <c r="S28"/>
  <c r="U9"/>
  <c r="S22"/>
  <c r="U22"/>
  <c r="R28"/>
  <c r="S47"/>
  <c r="T47"/>
  <c r="Z47"/>
  <c r="U49"/>
  <c r="W49"/>
  <c r="S24"/>
  <c r="S33"/>
  <c r="T33"/>
  <c r="Z33"/>
  <c r="U33"/>
  <c r="S21"/>
  <c r="T21"/>
  <c r="S27"/>
  <c r="W30"/>
  <c r="S30"/>
  <c r="S31"/>
  <c r="S32"/>
  <c r="U47"/>
  <c r="W47"/>
  <c r="S61"/>
  <c r="U61"/>
  <c r="W61"/>
  <c r="U35"/>
  <c r="W35"/>
  <c r="U36"/>
  <c r="U38"/>
  <c r="W38"/>
  <c r="U39"/>
  <c r="U40"/>
  <c r="W40"/>
  <c r="U41"/>
  <c r="U45"/>
  <c r="W45"/>
  <c r="S35"/>
  <c r="S36"/>
  <c r="S38"/>
  <c r="T38"/>
  <c r="Z38"/>
  <c r="S39"/>
  <c r="S40"/>
  <c r="T40"/>
  <c r="Z40"/>
  <c r="S41"/>
  <c r="T41"/>
  <c r="Z41"/>
  <c r="S45"/>
  <c r="T45"/>
  <c r="T22"/>
  <c r="Z22"/>
  <c r="T39"/>
  <c r="Z39"/>
  <c r="T30"/>
  <c r="Z30"/>
  <c r="T27"/>
  <c r="Z27"/>
  <c r="T23"/>
  <c r="Z23"/>
  <c r="T18"/>
  <c r="T36"/>
  <c r="Z36"/>
  <c r="T15"/>
  <c r="Z15"/>
  <c r="T24"/>
  <c r="Z24"/>
  <c r="T13"/>
  <c r="Z13"/>
  <c r="Z45"/>
  <c r="T35"/>
  <c r="Z35"/>
  <c r="R51"/>
  <c r="T32"/>
  <c r="Z32"/>
  <c r="T31"/>
  <c r="Z31"/>
  <c r="T10"/>
  <c r="T28"/>
  <c r="Z28"/>
  <c r="T11"/>
  <c r="Z11"/>
  <c r="T9"/>
  <c r="Z9"/>
  <c r="U51"/>
  <c r="Z21"/>
  <c r="Z10"/>
  <c r="T51"/>
  <c r="AP20" i="3" l="1"/>
  <c r="AP36"/>
  <c r="AP52"/>
  <c r="AP26"/>
  <c r="AP38"/>
  <c r="AN37"/>
  <c r="AP37" s="1"/>
  <c r="AL46"/>
  <c r="AL35"/>
  <c r="AM35" s="1"/>
  <c r="AS35" s="1"/>
  <c r="AN46"/>
  <c r="AP46" s="1"/>
  <c r="AL44"/>
  <c r="AM44" s="1"/>
  <c r="AS44" s="1"/>
  <c r="AN35"/>
  <c r="AP35" s="1"/>
  <c r="AN50"/>
  <c r="AP50" s="1"/>
  <c r="AK37"/>
  <c r="AM37" s="1"/>
  <c r="AS37" s="1"/>
  <c r="AN44"/>
  <c r="AP44" s="1"/>
  <c r="AN33"/>
  <c r="AP33" s="1"/>
  <c r="AM50"/>
  <c r="AS50" s="1"/>
  <c r="AL40"/>
  <c r="AM40" s="1"/>
  <c r="AS40" s="1"/>
  <c r="AN41"/>
  <c r="AP41" s="1"/>
  <c r="L50"/>
  <c r="L34"/>
  <c r="L18"/>
  <c r="AL36"/>
  <c r="AK15"/>
  <c r="AL27"/>
  <c r="AN27"/>
  <c r="AP27" s="1"/>
  <c r="AL45"/>
  <c r="AM45" s="1"/>
  <c r="AS45" s="1"/>
  <c r="AL38"/>
  <c r="AN29"/>
  <c r="AP29" s="1"/>
  <c r="AL24"/>
  <c r="AN31"/>
  <c r="AP31" s="1"/>
  <c r="AN18"/>
  <c r="AP18" s="1"/>
  <c r="AK24"/>
  <c r="AN16"/>
  <c r="AL29"/>
  <c r="AM29" s="1"/>
  <c r="AS29" s="1"/>
  <c r="AN51"/>
  <c r="AN42"/>
  <c r="AN40"/>
  <c r="AL31"/>
  <c r="AM31" s="1"/>
  <c r="AL18"/>
  <c r="AM18" s="1"/>
  <c r="AS18" s="1"/>
  <c r="AP15"/>
  <c r="AL43"/>
  <c r="AN32"/>
  <c r="AP32" s="1"/>
  <c r="AN28"/>
  <c r="AP28" s="1"/>
  <c r="AL26"/>
  <c r="AK38"/>
  <c r="AL20"/>
  <c r="AM20" s="1"/>
  <c r="AS20" s="1"/>
  <c r="AL15"/>
  <c r="AK36"/>
  <c r="AL32"/>
  <c r="AM32" s="1"/>
  <c r="AS32" s="1"/>
  <c r="AL28"/>
  <c r="AM28" s="1"/>
  <c r="AS28" s="1"/>
  <c r="AK19"/>
  <c r="AM19" s="1"/>
  <c r="L46"/>
  <c r="M46" s="1"/>
  <c r="N46" s="1"/>
  <c r="L30"/>
  <c r="M30" s="1"/>
  <c r="N30" s="1"/>
  <c r="I55"/>
  <c r="I75" s="1"/>
  <c r="AM27"/>
  <c r="AS27" s="1"/>
  <c r="AM33"/>
  <c r="AS33" s="1"/>
  <c r="AC56"/>
  <c r="AM43"/>
  <c r="AS43" s="1"/>
  <c r="AM42"/>
  <c r="AM46"/>
  <c r="AS46" s="1"/>
  <c r="AM53"/>
  <c r="AS53" s="1"/>
  <c r="F23"/>
  <c r="L14"/>
  <c r="M14" s="1"/>
  <c r="N14" s="1"/>
  <c r="P46"/>
  <c r="Q46" s="1"/>
  <c r="R46" s="1"/>
  <c r="P30"/>
  <c r="Q30" s="1"/>
  <c r="R30" s="1"/>
  <c r="P14"/>
  <c r="Q14" s="1"/>
  <c r="R14" s="1"/>
  <c r="C25" i="5"/>
  <c r="E25" s="1"/>
  <c r="F25" s="1"/>
  <c r="H25" s="1"/>
  <c r="I25" s="1"/>
  <c r="F31" i="3"/>
  <c r="P50"/>
  <c r="Q50" s="1"/>
  <c r="R50" s="1"/>
  <c r="P34"/>
  <c r="Q34" s="1"/>
  <c r="P18"/>
  <c r="Q18" s="1"/>
  <c r="R18" s="1"/>
  <c r="C33" i="5"/>
  <c r="E33" s="1"/>
  <c r="F33" s="1"/>
  <c r="H33" s="1"/>
  <c r="I33" s="1"/>
  <c r="C13"/>
  <c r="E13" s="1"/>
  <c r="F13" s="1"/>
  <c r="H13" s="1"/>
  <c r="I13" s="1"/>
  <c r="AM41" i="3"/>
  <c r="AS41" s="1"/>
  <c r="F39"/>
  <c r="P38"/>
  <c r="Q38" s="1"/>
  <c r="P22"/>
  <c r="Q22" s="1"/>
  <c r="R22" s="1"/>
  <c r="C39" i="5"/>
  <c r="E39" s="1"/>
  <c r="F39" s="1"/>
  <c r="H39" s="1"/>
  <c r="I39" s="1"/>
  <c r="C17"/>
  <c r="E17" s="1"/>
  <c r="F17" s="1"/>
  <c r="H17" s="1"/>
  <c r="I17" s="1"/>
  <c r="AP40" i="3"/>
  <c r="AM51"/>
  <c r="F47"/>
  <c r="F15"/>
  <c r="P42"/>
  <c r="Q42" s="1"/>
  <c r="R42" s="1"/>
  <c r="P26"/>
  <c r="Q26" s="1"/>
  <c r="R26" s="1"/>
  <c r="C43" i="5"/>
  <c r="E43" s="1"/>
  <c r="F43" s="1"/>
  <c r="H43" s="1"/>
  <c r="I43" s="1"/>
  <c r="C21"/>
  <c r="E21" s="1"/>
  <c r="F21" s="1"/>
  <c r="H21" s="1"/>
  <c r="I21" s="1"/>
  <c r="Q51" i="3"/>
  <c r="R51" s="1"/>
  <c r="Q43"/>
  <c r="R43" s="1"/>
  <c r="Q39"/>
  <c r="R39" s="1"/>
  <c r="Q35"/>
  <c r="R35" s="1"/>
  <c r="Q27"/>
  <c r="R27" s="1"/>
  <c r="Q23"/>
  <c r="R23" s="1"/>
  <c r="Q19"/>
  <c r="R19" s="1"/>
  <c r="Q15"/>
  <c r="R15" s="1"/>
  <c r="Q40"/>
  <c r="R40" s="1"/>
  <c r="Q24"/>
  <c r="R24" s="1"/>
  <c r="Q33"/>
  <c r="R33" s="1"/>
  <c r="Q12"/>
  <c r="Q25"/>
  <c r="R25" s="1"/>
  <c r="Q21"/>
  <c r="R21" s="1"/>
  <c r="Q17"/>
  <c r="R17" s="1"/>
  <c r="Q13"/>
  <c r="R13" s="1"/>
  <c r="Q47"/>
  <c r="R47" s="1"/>
  <c r="Q31"/>
  <c r="R31" s="1"/>
  <c r="AL49"/>
  <c r="AL23"/>
  <c r="AK34"/>
  <c r="AM34" s="1"/>
  <c r="AK23"/>
  <c r="AK26"/>
  <c r="AK52"/>
  <c r="AM52" s="1"/>
  <c r="AS52" s="1"/>
  <c r="F48"/>
  <c r="F40"/>
  <c r="F32"/>
  <c r="F24"/>
  <c r="F16"/>
  <c r="P53"/>
  <c r="P49"/>
  <c r="P45"/>
  <c r="P41"/>
  <c r="P37"/>
  <c r="P29"/>
  <c r="C12" i="5"/>
  <c r="C51"/>
  <c r="E51" s="1"/>
  <c r="F51" s="1"/>
  <c r="H51" s="1"/>
  <c r="I51" s="1"/>
  <c r="C47"/>
  <c r="E47" s="1"/>
  <c r="F47" s="1"/>
  <c r="H47" s="1"/>
  <c r="I47" s="1"/>
  <c r="C40"/>
  <c r="E40" s="1"/>
  <c r="F40" s="1"/>
  <c r="H40" s="1"/>
  <c r="I40" s="1"/>
  <c r="AN49" i="3"/>
  <c r="AP49" s="1"/>
  <c r="AK49"/>
  <c r="AL14"/>
  <c r="AM14" s="1"/>
  <c r="AK16"/>
  <c r="F51"/>
  <c r="F43"/>
  <c r="F35"/>
  <c r="F27"/>
  <c r="F19"/>
  <c r="E55"/>
  <c r="E75" s="1"/>
  <c r="L42"/>
  <c r="M42" s="1"/>
  <c r="N42" s="1"/>
  <c r="L38"/>
  <c r="M38" s="1"/>
  <c r="N38" s="1"/>
  <c r="L26"/>
  <c r="M26" s="1"/>
  <c r="N26" s="1"/>
  <c r="L22"/>
  <c r="M22" s="1"/>
  <c r="N22" s="1"/>
  <c r="P52"/>
  <c r="P48"/>
  <c r="P44"/>
  <c r="P36"/>
  <c r="P32"/>
  <c r="P28"/>
  <c r="P20"/>
  <c r="P16"/>
  <c r="C44" i="5"/>
  <c r="E44" s="1"/>
  <c r="F44" s="1"/>
  <c r="H44" s="1"/>
  <c r="I44" s="1"/>
  <c r="C35"/>
  <c r="E35" s="1"/>
  <c r="F35" s="1"/>
  <c r="H35" s="1"/>
  <c r="I35" s="1"/>
  <c r="C31"/>
  <c r="E31" s="1"/>
  <c r="F31" s="1"/>
  <c r="H31" s="1"/>
  <c r="I31" s="1"/>
  <c r="C27"/>
  <c r="E27" s="1"/>
  <c r="F27" s="1"/>
  <c r="H27" s="1"/>
  <c r="I27" s="1"/>
  <c r="C23"/>
  <c r="E23" s="1"/>
  <c r="F23" s="1"/>
  <c r="H23" s="1"/>
  <c r="I23" s="1"/>
  <c r="C19"/>
  <c r="E19" s="1"/>
  <c r="F19" s="1"/>
  <c r="H19" s="1"/>
  <c r="I19" s="1"/>
  <c r="C15"/>
  <c r="E15" s="1"/>
  <c r="F15" s="1"/>
  <c r="H15" s="1"/>
  <c r="I15" s="1"/>
  <c r="C36"/>
  <c r="E36" s="1"/>
  <c r="F36" s="1"/>
  <c r="H36" s="1"/>
  <c r="I36" s="1"/>
  <c r="AN14" i="3"/>
  <c r="AP14" s="1"/>
  <c r="AP16"/>
  <c r="AP23"/>
  <c r="F52"/>
  <c r="F20"/>
  <c r="F53"/>
  <c r="W51" i="1"/>
  <c r="V51"/>
  <c r="AO56" i="3"/>
  <c r="M50"/>
  <c r="N50" s="1"/>
  <c r="M34"/>
  <c r="N34" s="1"/>
  <c r="M18"/>
  <c r="N18" s="1"/>
  <c r="M64"/>
  <c r="N64" s="1"/>
  <c r="F41" i="5"/>
  <c r="H41" s="1"/>
  <c r="I41" s="1"/>
  <c r="F72" i="3"/>
  <c r="F49" i="5"/>
  <c r="H49" s="1"/>
  <c r="I49" s="1"/>
  <c r="N63" i="3"/>
  <c r="M63"/>
  <c r="F45" i="5"/>
  <c r="H45" s="1"/>
  <c r="I45" s="1"/>
  <c r="F53"/>
  <c r="H53" s="1"/>
  <c r="I53" s="1"/>
  <c r="C55" i="3"/>
  <c r="C75" s="1"/>
  <c r="H55"/>
  <c r="H75" s="1"/>
  <c r="D72"/>
  <c r="D75" s="1"/>
  <c r="J12"/>
  <c r="L15"/>
  <c r="L19"/>
  <c r="L23"/>
  <c r="L27"/>
  <c r="L31"/>
  <c r="L35"/>
  <c r="L39"/>
  <c r="L43"/>
  <c r="L47"/>
  <c r="L51"/>
  <c r="J59"/>
  <c r="L59" s="1"/>
  <c r="J60"/>
  <c r="L60" s="1"/>
  <c r="K61"/>
  <c r="K62"/>
  <c r="J67"/>
  <c r="L67" s="1"/>
  <c r="J68"/>
  <c r="L68" s="1"/>
  <c r="K69"/>
  <c r="L69" s="1"/>
  <c r="K70"/>
  <c r="K16"/>
  <c r="K20"/>
  <c r="K24"/>
  <c r="K28"/>
  <c r="K32"/>
  <c r="K36"/>
  <c r="K40"/>
  <c r="K44"/>
  <c r="K48"/>
  <c r="K52"/>
  <c r="J61"/>
  <c r="L61" s="1"/>
  <c r="J62"/>
  <c r="L62" s="1"/>
  <c r="J69"/>
  <c r="J70"/>
  <c r="L70" s="1"/>
  <c r="J13"/>
  <c r="L13" s="1"/>
  <c r="J16"/>
  <c r="L16" s="1"/>
  <c r="K17"/>
  <c r="L17" s="1"/>
  <c r="J20"/>
  <c r="K21"/>
  <c r="L21" s="1"/>
  <c r="J24"/>
  <c r="K25"/>
  <c r="L25" s="1"/>
  <c r="J28"/>
  <c r="K29"/>
  <c r="L29" s="1"/>
  <c r="J32"/>
  <c r="L32" s="1"/>
  <c r="K33"/>
  <c r="L33" s="1"/>
  <c r="J36"/>
  <c r="K37"/>
  <c r="L37" s="1"/>
  <c r="J40"/>
  <c r="K41"/>
  <c r="L41" s="1"/>
  <c r="J44"/>
  <c r="K45"/>
  <c r="L45" s="1"/>
  <c r="J48"/>
  <c r="L48" s="1"/>
  <c r="K49"/>
  <c r="L49" s="1"/>
  <c r="J52"/>
  <c r="K53"/>
  <c r="L53" s="1"/>
  <c r="K58"/>
  <c r="K65"/>
  <c r="L65" s="1"/>
  <c r="K66"/>
  <c r="L66" s="1"/>
  <c r="J58"/>
  <c r="J72" s="1"/>
  <c r="AM36" l="1"/>
  <c r="AS36" s="1"/>
  <c r="AM24"/>
  <c r="AM15"/>
  <c r="AS15" s="1"/>
  <c r="AM26"/>
  <c r="AS26" s="1"/>
  <c r="AM38"/>
  <c r="AS38" s="1"/>
  <c r="AL56"/>
  <c r="AL57" s="1"/>
  <c r="R34"/>
  <c r="R38"/>
  <c r="K55"/>
  <c r="F55"/>
  <c r="F75" s="1"/>
  <c r="AP56"/>
  <c r="L40"/>
  <c r="L24"/>
  <c r="M24" s="1"/>
  <c r="N24" s="1"/>
  <c r="AS14"/>
  <c r="Q32"/>
  <c r="R32" s="1"/>
  <c r="Q52"/>
  <c r="R52" s="1"/>
  <c r="Q41"/>
  <c r="R41" s="1"/>
  <c r="Q49"/>
  <c r="R49" s="1"/>
  <c r="Q28"/>
  <c r="R28" s="1"/>
  <c r="Q48"/>
  <c r="R48" s="1"/>
  <c r="AK56"/>
  <c r="AM16"/>
  <c r="AS16" s="1"/>
  <c r="Q29"/>
  <c r="R29" s="1"/>
  <c r="L52"/>
  <c r="M52" s="1"/>
  <c r="N52" s="1"/>
  <c r="L36"/>
  <c r="M36" s="1"/>
  <c r="N36" s="1"/>
  <c r="L20"/>
  <c r="M20" s="1"/>
  <c r="N20" s="1"/>
  <c r="AM23"/>
  <c r="AN56"/>
  <c r="Q20"/>
  <c r="R20" s="1"/>
  <c r="Q44"/>
  <c r="R44" s="1"/>
  <c r="C54" i="5"/>
  <c r="E12"/>
  <c r="Q37" i="3"/>
  <c r="R37" s="1"/>
  <c r="Q45"/>
  <c r="R45" s="1"/>
  <c r="Q53"/>
  <c r="R53" s="1"/>
  <c r="Q16"/>
  <c r="Q36"/>
  <c r="R36" s="1"/>
  <c r="P55"/>
  <c r="P75" s="1"/>
  <c r="L44"/>
  <c r="L28"/>
  <c r="AM49"/>
  <c r="R12"/>
  <c r="M45"/>
  <c r="N45" s="1"/>
  <c r="M29"/>
  <c r="N29" s="1"/>
  <c r="M13"/>
  <c r="N13" s="1"/>
  <c r="M48"/>
  <c r="N48" s="1"/>
  <c r="M32"/>
  <c r="N32" s="1"/>
  <c r="M16"/>
  <c r="N16" s="1"/>
  <c r="M65"/>
  <c r="N65" s="1"/>
  <c r="M41"/>
  <c r="N41" s="1"/>
  <c r="M25"/>
  <c r="N25" s="1"/>
  <c r="N70"/>
  <c r="M70"/>
  <c r="M66"/>
  <c r="N66"/>
  <c r="M61"/>
  <c r="N61" s="1"/>
  <c r="M53"/>
  <c r="N53" s="1"/>
  <c r="M37"/>
  <c r="N37" s="1"/>
  <c r="M21"/>
  <c r="N21" s="1"/>
  <c r="N62"/>
  <c r="M62"/>
  <c r="M44"/>
  <c r="N44" s="1"/>
  <c r="M49"/>
  <c r="N49" s="1"/>
  <c r="M33"/>
  <c r="N33" s="1"/>
  <c r="M17"/>
  <c r="N17" s="1"/>
  <c r="M69"/>
  <c r="N69"/>
  <c r="N59"/>
  <c r="M59"/>
  <c r="M60"/>
  <c r="N60" s="1"/>
  <c r="M51"/>
  <c r="N51" s="1"/>
  <c r="M43"/>
  <c r="N43" s="1"/>
  <c r="M35"/>
  <c r="N35" s="1"/>
  <c r="M27"/>
  <c r="N27" s="1"/>
  <c r="M19"/>
  <c r="N19" s="1"/>
  <c r="N67"/>
  <c r="M67"/>
  <c r="J55"/>
  <c r="J75" s="1"/>
  <c r="L12"/>
  <c r="N68"/>
  <c r="M68"/>
  <c r="M47"/>
  <c r="N47" s="1"/>
  <c r="M39"/>
  <c r="N39" s="1"/>
  <c r="M31"/>
  <c r="N31" s="1"/>
  <c r="M23"/>
  <c r="N23" s="1"/>
  <c r="M15"/>
  <c r="N15" s="1"/>
  <c r="K72"/>
  <c r="L58"/>
  <c r="K75" l="1"/>
  <c r="M40"/>
  <c r="N40" s="1"/>
  <c r="Q55"/>
  <c r="Q75" s="1"/>
  <c r="AM56"/>
  <c r="M28"/>
  <c r="N28" s="1"/>
  <c r="F12" i="5"/>
  <c r="E54"/>
  <c r="R16" i="3"/>
  <c r="R55" s="1"/>
  <c r="R75" s="1"/>
  <c r="L55"/>
  <c r="M12"/>
  <c r="N12" s="1"/>
  <c r="M58"/>
  <c r="M72" s="1"/>
  <c r="L72"/>
  <c r="N58"/>
  <c r="N72" s="1"/>
  <c r="L75" l="1"/>
  <c r="M55"/>
  <c r="N55"/>
  <c r="N75" s="1"/>
  <c r="H12" i="5"/>
  <c r="F54"/>
  <c r="M75" i="3"/>
  <c r="H54" i="5" l="1"/>
  <c r="I12"/>
  <c r="I54" s="1"/>
</calcChain>
</file>

<file path=xl/sharedStrings.xml><?xml version="1.0" encoding="utf-8"?>
<sst xmlns="http://schemas.openxmlformats.org/spreadsheetml/2006/main" count="1260" uniqueCount="339">
  <si>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</si>
  <si>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</si>
  <si>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</si>
  <si>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</si>
  <si>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</si>
  <si>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</si>
  <si>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</si>
  <si>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</si>
  <si>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</si>
  <si>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</si>
  <si>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</si>
  <si>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</si>
  <si>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</si>
  <si>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</si>
  <si>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</si>
  <si>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</si>
  <si>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</si>
  <si>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</si>
  <si>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</si>
  <si>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</si>
  <si>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</si>
  <si>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</si>
  <si>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</si>
  <si>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</si>
  <si>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</si>
  <si>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</si>
  <si>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</si>
  <si>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</si>
  <si>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</si>
  <si>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</si>
  <si>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</si>
  <si>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</si>
  <si>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</si>
  <si>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</si>
  <si>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</si>
  <si>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</si>
  <si>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</si>
  <si>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</si>
  <si>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</si>
  <si>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</si>
  <si>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</si>
  <si>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</si>
  <si>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</si>
  <si>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</si>
  <si>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</si>
  <si>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</si>
  <si>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</si>
  <si>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</si>
  <si>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</si>
  <si>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</si>
  <si>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</si>
  <si>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</si>
  <si>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</si>
  <si>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</si>
  <si>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</si>
  <si>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</si>
  <si>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</si>
  <si>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</si>
  <si>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HE04</t>
  </si>
  <si>
    <t>GERENTE GENERAL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</si>
  <si>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</si>
  <si>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</si>
  <si>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</si>
  <si>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</si>
  <si>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</si>
  <si>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</si>
  <si>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</si>
  <si>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ME05</t>
  </si>
  <si>
    <t>GREETER</t>
  </si>
  <si>
    <t>MARTINEZ DIAZ LEOBARDO ADRIAN</t>
  </si>
  <si>
    <t>MARTINEZ HERRERA CRISTIAN</t>
  </si>
  <si>
    <t>MH02</t>
  </si>
  <si>
    <t>MARTINEZ ORTIZ JOSUE ALEJANDRO</t>
  </si>
  <si>
    <t>ENCARGADO DE SISTEMAS</t>
  </si>
  <si>
    <t>MEJIA VILLEGAS NALLELY BEATRIZ</t>
  </si>
  <si>
    <t>MV23</t>
  </si>
  <si>
    <t>CITAS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</si>
  <si>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</si>
  <si>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</si>
  <si>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</si>
  <si>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</si>
  <si>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</si>
  <si>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</si>
  <si>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</si>
  <si>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NAVARRETE RODRIGUEZ MARIA TERESA</t>
  </si>
  <si>
    <t>INTERCAMBIOS</t>
  </si>
  <si>
    <t>NIEVES OSORNIO SILVESTRE</t>
  </si>
  <si>
    <t>NO05</t>
  </si>
  <si>
    <t>ESTETICAS</t>
  </si>
  <si>
    <t>F&amp;I</t>
  </si>
  <si>
    <t>PATIÑO MUÑOZ ANA LAURA</t>
  </si>
  <si>
    <t>GERENTE POST-VENTA</t>
  </si>
  <si>
    <t>PREVIADOR</t>
  </si>
  <si>
    <t>REFACCIONES</t>
  </si>
  <si>
    <t>SALAS CORREA VICTOR EDUARDO</t>
  </si>
  <si>
    <t>SALCEDO MORENO JANITZY XOCHITL</t>
  </si>
  <si>
    <t>SM06</t>
  </si>
  <si>
    <t>ATENCION A CLIENTES</t>
  </si>
  <si>
    <t>SV030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</si>
  <si>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</si>
  <si>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</si>
  <si>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</si>
  <si>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</si>
  <si>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</si>
  <si>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</si>
  <si>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</si>
  <si>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</si>
  <si>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</si>
  <si>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</si>
  <si>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</si>
  <si>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</si>
  <si>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</si>
  <si>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>705-001-070 SERV</t>
  </si>
  <si>
    <t>683-001-001 COSTO</t>
  </si>
  <si>
    <t>LIZARDI URZUA ARIZBETH</t>
  </si>
  <si>
    <t>SOLORZANO JUAREZ MONICA ELISA</t>
  </si>
  <si>
    <t>RECURSOS HUMANOS</t>
  </si>
  <si>
    <t>DIAZ ROJAS ROCIO JANET</t>
  </si>
  <si>
    <t>MUÑOZ MARTINEZ PATRICIA VANESSA</t>
  </si>
  <si>
    <t>GALLEGOS RIOS OCTAVIO ALBERTO</t>
  </si>
  <si>
    <t>CAMPOS SANCEN LUIS FELIPE</t>
  </si>
  <si>
    <t>CS27</t>
  </si>
  <si>
    <t>AUX CONTABLE</t>
  </si>
  <si>
    <t>JIMENEZ SUAREZ LUDIVINA</t>
  </si>
  <si>
    <t>GERENTE ADMINISTRATIVO</t>
  </si>
  <si>
    <t>NM17</t>
  </si>
  <si>
    <t>AUX ADMINISTRATIVO</t>
  </si>
  <si>
    <t>SANTANA ANAYA GILDARDO ENRIQUE</t>
  </si>
  <si>
    <t>SA03</t>
  </si>
  <si>
    <t>GERENTE DE SISTEMAS</t>
  </si>
  <si>
    <t>FACTURACION</t>
  </si>
  <si>
    <t>RODRIGUEZ NUÑEZ JOSE ANTONIO</t>
  </si>
  <si>
    <t>JEFE DE SERVICIO</t>
  </si>
  <si>
    <t>ESCAMILLA LOPEZ ROGELIO</t>
  </si>
  <si>
    <t>COSTO</t>
  </si>
  <si>
    <t>GUERRERO MARTINEZ JUAN PABLO</t>
  </si>
  <si>
    <t>MALDONADO CRUZ CARLOS IVAN</t>
  </si>
  <si>
    <t>VAZQUEZ AMEZCUA GILBERTO RAMON</t>
  </si>
  <si>
    <t>GERENTE DE VENTAS</t>
  </si>
  <si>
    <t>GAYTAN MARTINEZ RAUL</t>
  </si>
  <si>
    <t>VIGILANTE MATUTINO</t>
  </si>
  <si>
    <t>CRUZ MENDOZA SALOMON</t>
  </si>
  <si>
    <t>2896758940</t>
  </si>
  <si>
    <t>MDT</t>
  </si>
  <si>
    <t>KAIZEN</t>
  </si>
  <si>
    <t>ALMANZA MARTINEZ MARIBEL</t>
  </si>
  <si>
    <t>SINIESTROS</t>
  </si>
  <si>
    <t>VILLEGAS ALONSO DIEGO ARMANDO</t>
  </si>
  <si>
    <t>Periodo 1RA QUINCENA</t>
  </si>
  <si>
    <t>01/10/2016 AL 15/10/2016</t>
  </si>
  <si>
    <t>DESCUENTO 2/3 CTA 254 POR DAÑO A VEHICULO</t>
  </si>
  <si>
    <t>MANJARREZ MORENO JULIO CESAR</t>
  </si>
  <si>
    <t>MANTENIMIENTO</t>
  </si>
  <si>
    <t>NUEVO INGRESO 10/10/2016 SUELDO MENSUAL $6,000 FAVOR DE PAGAR 6 DIAS</t>
  </si>
  <si>
    <t>DESCONTAR POR SINDICATO $1,500 POR PAGO DE MAS</t>
  </si>
  <si>
    <t>DESCONTAR POR SINDICATO $1,644 POR PAGO DE MAS</t>
  </si>
  <si>
    <t>DESCONTAR POR SINDICATO $625 POR PAGO DE MAS</t>
  </si>
  <si>
    <t>AUXILIAR DE REFACCIONES</t>
  </si>
  <si>
    <t>SEGURA MEJIA DIANA JANETTE</t>
  </si>
  <si>
    <t>PAGAR 4 DIAS DE VACACIONES NO DISFRUTADAS.</t>
  </si>
  <si>
    <t>CONTPAQ i</t>
  </si>
  <si>
    <t xml:space="preserve"> </t>
  </si>
  <si>
    <t xml:space="preserve">      NÓMINAS</t>
  </si>
  <si>
    <t>05 INGENIERIA FISCAL LABORAL SC</t>
  </si>
  <si>
    <t>Lista de Raya (forma tabular)</t>
  </si>
  <si>
    <t>Periodo 19 al 19 Quincenal del 01/10/2016 al 15/10/2016</t>
  </si>
  <si>
    <t>Reg Pat IMSS: 00000000000,Z3422423106</t>
  </si>
  <si>
    <t xml:space="preserve">RFC: IFL -130502-TN8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</si>
  <si>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</si>
  <si>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</si>
  <si>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</si>
  <si>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</si>
  <si>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</si>
  <si>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</si>
  <si>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</si>
  <si>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</si>
  <si>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</si>
  <si>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</si>
  <si>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</si>
  <si>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Departamento 1 1200X05</t>
  </si>
  <si>
    <t>AMM19</t>
  </si>
  <si>
    <t>Almanza Martinez Maribel</t>
  </si>
  <si>
    <t>0AJ28</t>
  </si>
  <si>
    <t>Avendaño Jauregui Mauricio</t>
  </si>
  <si>
    <t>BM29</t>
  </si>
  <si>
    <t>Baez Monroy Elizabeth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</si>
  <si>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</si>
  <si>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</si>
  <si>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</si>
  <si>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</si>
  <si>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</si>
  <si>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</si>
  <si>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0CG02</t>
  </si>
  <si>
    <t>Castillo Galindo Marlene Samantha Graciela</t>
  </si>
  <si>
    <t>CMS29</t>
  </si>
  <si>
    <t>Cruz Mendoza Salomon</t>
  </si>
  <si>
    <t>0AC03</t>
  </si>
  <si>
    <t>Del Alto Castellanos Xochitl</t>
  </si>
  <si>
    <t>DRR01</t>
  </si>
  <si>
    <t>Diaz Rojas Rocio Janet</t>
  </si>
  <si>
    <t>ELR26</t>
  </si>
  <si>
    <t>Escamilla Lopez Rogelio</t>
  </si>
  <si>
    <t>GMR01</t>
  </si>
  <si>
    <t>Gallegos Morales Roberto</t>
  </si>
  <si>
    <t>GRO05</t>
  </si>
  <si>
    <t>Gallegos Rios Octavio Alberto</t>
  </si>
  <si>
    <t>0GM14</t>
  </si>
  <si>
    <t>Gaytan Martinez Raul</t>
  </si>
  <si>
    <t>0GA21</t>
  </si>
  <si>
    <t>Guerra Aguilar Alejandro</t>
  </si>
  <si>
    <t>GA003</t>
  </si>
  <si>
    <t>Guillen Ayala Juan Carlos</t>
  </si>
  <si>
    <t>0HE04</t>
  </si>
  <si>
    <t>Hernandez Espinoza Victor Benjami</t>
  </si>
  <si>
    <t>0HA01</t>
  </si>
  <si>
    <t>Herrera Almaraz Blanca Sofia</t>
  </si>
  <si>
    <t>00003</t>
  </si>
  <si>
    <t>Jimenez Suarez Ludivina</t>
  </si>
  <si>
    <t>0LU18</t>
  </si>
  <si>
    <t>Lizardi Urzua Arizbeth</t>
  </si>
  <si>
    <t>00LA2</t>
  </si>
  <si>
    <t>Loyola Acosta Carlos Alberto</t>
  </si>
  <si>
    <t>0ME05</t>
  </si>
  <si>
    <t>Mandujano Estrada  Ilse Georgina</t>
  </si>
  <si>
    <t>MMJ10</t>
  </si>
  <si>
    <t>Manjarrez Moreno Julio Cesar</t>
  </si>
  <si>
    <t>MOJ09</t>
  </si>
  <si>
    <t>Martinez Ortiz Josue Alejandro</t>
  </si>
  <si>
    <t>0MV23</t>
  </si>
  <si>
    <t>Mejia Villegas Nallely Beatriz</t>
  </si>
  <si>
    <t>0MN09</t>
  </si>
  <si>
    <t>Morales Naif Diana</t>
  </si>
  <si>
    <t>00056</t>
  </si>
  <si>
    <t>Muñoz Macias Marco Alfredo</t>
  </si>
  <si>
    <t>MMP08</t>
  </si>
  <si>
    <t>Muñoz Martinez Patricia Vanessa</t>
  </si>
  <si>
    <t>0NA28</t>
  </si>
  <si>
    <t>Nava Ambriz Thania</t>
  </si>
  <si>
    <t>00012</t>
  </si>
  <si>
    <t>Navarrete Rodriguez Maria Teresa</t>
  </si>
  <si>
    <t>0NM17</t>
  </si>
  <si>
    <t>Navarro Macias Jennifer</t>
  </si>
  <si>
    <t>009</t>
  </si>
  <si>
    <t>Patiño Muñoz Ana Laura</t>
  </si>
  <si>
    <t>0SM06</t>
  </si>
  <si>
    <t>Salcedo Moreno Janitzy Xochitl</t>
  </si>
  <si>
    <t>0SE03</t>
  </si>
  <si>
    <t>Sanchez Escamilla Rosalba</t>
  </si>
  <si>
    <t>00008</t>
  </si>
  <si>
    <t>Sanchez Veana Javier</t>
  </si>
  <si>
    <t>0SA03</t>
  </si>
  <si>
    <t>Santana Anaya Gildardo Enrique</t>
  </si>
  <si>
    <t>SMD19</t>
  </si>
  <si>
    <t>Segura Mejia Diana Janette</t>
  </si>
  <si>
    <t>SJM18</t>
  </si>
  <si>
    <t>Solorzano Juarez Monica Elisa</t>
  </si>
  <si>
    <t>00018</t>
  </si>
  <si>
    <t>Tierrablanca Sanchez Victor Hugo</t>
  </si>
  <si>
    <t>VAG26</t>
  </si>
  <si>
    <t>Vazquez Amezcua Gilberto Ramon</t>
  </si>
  <si>
    <t>0VF00</t>
  </si>
  <si>
    <t>Vega Fernandez Amalia</t>
  </si>
  <si>
    <t>YMC14</t>
  </si>
  <si>
    <t>Yerena Martinez Cinthia Guadalupe</t>
  </si>
  <si>
    <t>Total Depto</t>
  </si>
  <si>
    <t xml:space="preserve">  -----------------------</t>
  </si>
  <si>
    <t>Departamento 2 1200X05 SERVICIOS</t>
  </si>
  <si>
    <t>GFJ22</t>
  </si>
  <si>
    <t>Guerra Franco José Manuel</t>
  </si>
  <si>
    <t>GHJ29</t>
  </si>
  <si>
    <t>Guerrero Hernandez Juan Carlos</t>
  </si>
  <si>
    <t>GMJ15</t>
  </si>
  <si>
    <t>Guerrero Martinez Juan Pablo</t>
  </si>
  <si>
    <t>MCC15</t>
  </si>
  <si>
    <t>Maldonado Cruz Carlos Ivan</t>
  </si>
  <si>
    <t>MDL04</t>
  </si>
  <si>
    <t>Martinez Diaz Leobardo Adrian</t>
  </si>
  <si>
    <t>0MH02</t>
  </si>
  <si>
    <t>Martinez Herrera Cristian</t>
  </si>
  <si>
    <t>0NO05</t>
  </si>
  <si>
    <t>Nieves Osornio Silvestre</t>
  </si>
  <si>
    <t>PLL19</t>
  </si>
  <si>
    <t>Prieto Lopez Leobigildo</t>
  </si>
  <si>
    <t>00033</t>
  </si>
  <si>
    <t>Rodriguez Nuñez Jose Antonio</t>
  </si>
  <si>
    <t>SCV29</t>
  </si>
  <si>
    <t>Salas Correa Victor Eduardo</t>
  </si>
  <si>
    <t>0SV03</t>
  </si>
  <si>
    <t xml:space="preserve">Sambrano Villarreal Hernan Andres </t>
  </si>
  <si>
    <t>VDA19</t>
  </si>
  <si>
    <t>Villegas Alonso Diego Armando</t>
  </si>
  <si>
    <t>0YV27</t>
  </si>
  <si>
    <t>Yerena Vazquez Alejandro</t>
  </si>
  <si>
    <t xml:space="preserve">  =============</t>
  </si>
  <si>
    <t>Total Gral.</t>
  </si>
  <si>
    <t>2744500016</t>
  </si>
  <si>
    <t>AVENDAÑO JAUREGUI MAURICIO</t>
  </si>
  <si>
    <t>HERNANDEZ ESPINOZA VICTOR BENJAMI</t>
  </si>
  <si>
    <t>MANDUJANO ESTRADA  ILSE GEORGINA</t>
  </si>
  <si>
    <t>NAVARRO MACIAS JENNIFER</t>
  </si>
  <si>
    <t>GUERRA FRANCO JOSÉ MANUEL</t>
  </si>
  <si>
    <t>PRIETO LOPEZ LEOBIGILDO</t>
  </si>
  <si>
    <t xml:space="preserve">SAMBRANO VILLARREAL HERNAN ANDRES </t>
  </si>
  <si>
    <t>Comisiones</t>
  </si>
  <si>
    <t>Compensación</t>
  </si>
  <si>
    <t>Préstamo Infonavit</t>
  </si>
  <si>
    <t>SGV</t>
  </si>
  <si>
    <t>Dtos Cta 254</t>
  </si>
  <si>
    <t>NOTA: SE REALIZARAN DOS DEPOSITOS Y FACURAS</t>
  </si>
  <si>
    <t>FACTURA 1</t>
  </si>
  <si>
    <t>FACTURA 2</t>
  </si>
  <si>
    <t>SGV Y SGMM</t>
  </si>
  <si>
    <t>2% NOMINA</t>
  </si>
  <si>
    <t>7.5 % COMISIÓN</t>
  </si>
  <si>
    <t>SUBTOTAL</t>
  </si>
  <si>
    <t>IVA</t>
  </si>
  <si>
    <t>TOTAL</t>
  </si>
  <si>
    <t>COMIONES</t>
  </si>
  <si>
    <t>Comisión x sindicato</t>
  </si>
  <si>
    <t>05 SINDICATO ASOCIACIÓN</t>
  </si>
  <si>
    <t>APOYO</t>
  </si>
  <si>
    <t>OTROS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</si>
  <si>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</si>
  <si>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</si>
  <si>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</si>
  <si>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</si>
  <si>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</si>
  <si>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</si>
  <si>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</si>
  <si>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</si>
  <si>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</si>
  <si>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</si>
  <si>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</si>
  <si>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</si>
  <si>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1RA QUINCENA</t>
  </si>
  <si>
    <t>NOMBRE</t>
  </si>
  <si>
    <t>NOMINA</t>
  </si>
  <si>
    <t>DISPERSIONES</t>
  </si>
  <si>
    <t>INGENIERIA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</si>
</sst>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</numFmts>
  <fonts count="32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8"/>
      <color theme="1"/>
      <name val="Arial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" fillId="0" borderId="0"/>
  </cellStyleXfs>
  <cellXfs count="252">
    <xf numFmtId="0" fontId="0" fillId="0" borderId="0" xfId="0"/>
    <xf numFmtId="0" fontId="2" fillId="0" borderId="0" xfId="4" applyFont="1" applyFill="1" applyAlignment="1" applyProtection="1">
      <alignment horizontal="left"/>
    </xf>
    <xf numFmtId="0" fontId="2" fillId="0" borderId="0" xfId="4" applyFont="1" applyFill="1" applyAlignment="1" applyProtection="1">
      <alignment horizontal="center"/>
    </xf>
    <xf numFmtId="43" fontId="3" fillId="0" borderId="0" xfId="1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16" fillId="0" borderId="0" xfId="1" applyProtection="1"/>
    <xf numFmtId="0" fontId="3" fillId="0" borderId="0" xfId="0" applyFont="1" applyProtection="1"/>
    <xf numFmtId="0" fontId="5" fillId="0" borderId="0" xfId="0" applyFont="1"/>
    <xf numFmtId="0" fontId="6" fillId="0" borderId="0" xfId="4" applyFont="1" applyFill="1" applyAlignment="1" applyProtection="1">
      <alignment horizontal="left"/>
    </xf>
    <xf numFmtId="0" fontId="6" fillId="0" borderId="0" xfId="4" applyFont="1" applyFill="1" applyAlignment="1" applyProtection="1">
      <alignment horizontal="center"/>
    </xf>
    <xf numFmtId="15" fontId="2" fillId="0" borderId="0" xfId="4" applyNumberFormat="1" applyFont="1" applyFill="1" applyAlignment="1" applyProtection="1">
      <alignment horizontal="left"/>
    </xf>
    <xf numFmtId="15" fontId="2" fillId="0" borderId="0" xfId="4" applyNumberFormat="1" applyFont="1" applyFill="1" applyAlignment="1" applyProtection="1">
      <alignment horizontal="center"/>
    </xf>
    <xf numFmtId="0" fontId="4" fillId="0" borderId="0" xfId="0" applyFont="1"/>
    <xf numFmtId="43" fontId="3" fillId="0" borderId="0" xfId="1" applyFont="1"/>
    <xf numFmtId="43" fontId="4" fillId="0" borderId="0" xfId="1" applyFont="1"/>
    <xf numFmtId="43" fontId="16" fillId="0" borderId="0" xfId="1"/>
    <xf numFmtId="0" fontId="3" fillId="0" borderId="0" xfId="0" applyFont="1"/>
    <xf numFmtId="0" fontId="3" fillId="0" borderId="0" xfId="0" applyFont="1" applyFill="1"/>
    <xf numFmtId="0" fontId="5" fillId="0" borderId="0" xfId="0" applyFont="1" applyAlignment="1">
      <alignment horizontal="center" vertical="center"/>
    </xf>
    <xf numFmtId="3" fontId="4" fillId="2" borderId="1" xfId="0" applyNumberFormat="1" applyFont="1" applyFill="1" applyBorder="1"/>
    <xf numFmtId="43" fontId="4" fillId="2" borderId="2" xfId="1" applyFont="1" applyFill="1" applyBorder="1" applyAlignment="1">
      <alignment horizontal="center" wrapText="1"/>
    </xf>
    <xf numFmtId="43" fontId="4" fillId="2" borderId="3" xfId="1" applyFont="1" applyFill="1" applyBorder="1" applyAlignment="1">
      <alignment horizontal="center" wrapText="1"/>
    </xf>
    <xf numFmtId="0" fontId="4" fillId="0" borderId="0" xfId="0" applyFont="1" applyFill="1"/>
    <xf numFmtId="0" fontId="5" fillId="0" borderId="0" xfId="0" applyFont="1" applyFill="1"/>
    <xf numFmtId="3" fontId="4" fillId="2" borderId="2" xfId="0" applyNumberFormat="1" applyFont="1" applyFill="1" applyBorder="1"/>
    <xf numFmtId="43" fontId="4" fillId="2" borderId="4" xfId="1" applyFont="1" applyFill="1" applyBorder="1" applyAlignment="1">
      <alignment horizontal="center" wrapText="1"/>
    </xf>
    <xf numFmtId="43" fontId="16" fillId="2" borderId="2" xfId="1" applyFill="1" applyBorder="1" applyAlignment="1">
      <alignment horizontal="center" wrapText="1"/>
    </xf>
    <xf numFmtId="0" fontId="3" fillId="0" borderId="5" xfId="0" applyFont="1" applyBorder="1"/>
    <xf numFmtId="0" fontId="3" fillId="11" borderId="5" xfId="0" applyFont="1" applyFill="1" applyBorder="1"/>
    <xf numFmtId="0" fontId="3" fillId="0" borderId="5" xfId="0" applyFont="1" applyBorder="1" applyAlignment="1">
      <alignment horizontal="right"/>
    </xf>
    <xf numFmtId="164" fontId="7" fillId="0" borderId="5" xfId="0" applyNumberFormat="1" applyFont="1" applyBorder="1" applyAlignment="1">
      <alignment horizontal="left" vertical="center"/>
    </xf>
    <xf numFmtId="43" fontId="3" fillId="0" borderId="5" xfId="1" applyFont="1" applyBorder="1"/>
    <xf numFmtId="43" fontId="3" fillId="0" borderId="5" xfId="1" applyFont="1" applyFill="1" applyBorder="1"/>
    <xf numFmtId="43" fontId="8" fillId="4" borderId="5" xfId="1" applyFont="1" applyFill="1" applyBorder="1"/>
    <xf numFmtId="43" fontId="3" fillId="5" borderId="5" xfId="1" applyFont="1" applyFill="1" applyBorder="1" applyAlignment="1">
      <alignment horizontal="center"/>
    </xf>
    <xf numFmtId="43" fontId="16" fillId="0" borderId="5" xfId="1" applyFont="1" applyBorder="1"/>
    <xf numFmtId="43" fontId="10" fillId="0" borderId="5" xfId="1" applyFont="1" applyBorder="1"/>
    <xf numFmtId="43" fontId="4" fillId="6" borderId="5" xfId="1" applyFont="1" applyFill="1" applyBorder="1"/>
    <xf numFmtId="43" fontId="3" fillId="0" borderId="5" xfId="1" applyFont="1" applyFill="1" applyBorder="1" applyAlignment="1">
      <alignment horizontal="center"/>
    </xf>
    <xf numFmtId="43" fontId="3" fillId="7" borderId="5" xfId="1" applyFont="1" applyFill="1" applyBorder="1" applyAlignment="1">
      <alignment horizontal="center"/>
    </xf>
    <xf numFmtId="4" fontId="7" fillId="0" borderId="5" xfId="0" applyNumberFormat="1" applyFont="1" applyBorder="1" applyAlignment="1">
      <alignment wrapText="1"/>
    </xf>
    <xf numFmtId="0" fontId="11" fillId="4" borderId="5" xfId="0" applyFont="1" applyFill="1" applyBorder="1" applyAlignment="1">
      <alignment horizontal="right" wrapText="1"/>
    </xf>
    <xf numFmtId="43" fontId="7" fillId="0" borderId="5" xfId="0" applyNumberFormat="1" applyFont="1" applyFill="1" applyBorder="1"/>
    <xf numFmtId="0" fontId="5" fillId="11" borderId="0" xfId="0" applyFont="1" applyFill="1"/>
    <xf numFmtId="43" fontId="3" fillId="8" borderId="5" xfId="1" applyFont="1" applyFill="1" applyBorder="1"/>
    <xf numFmtId="0" fontId="3" fillId="0" borderId="5" xfId="0" applyFont="1" applyFill="1" applyBorder="1"/>
    <xf numFmtId="4" fontId="11" fillId="4" borderId="5" xfId="0" applyNumberFormat="1" applyFont="1" applyFill="1" applyBorder="1" applyAlignment="1">
      <alignment horizontal="right" wrapText="1"/>
    </xf>
    <xf numFmtId="0" fontId="4" fillId="0" borderId="5" xfId="0" applyFont="1" applyFill="1" applyBorder="1" applyAlignment="1"/>
    <xf numFmtId="0" fontId="4" fillId="0" borderId="5" xfId="0" applyFont="1" applyFill="1" applyBorder="1"/>
    <xf numFmtId="12" fontId="3" fillId="0" borderId="5" xfId="1" applyNumberFormat="1" applyFont="1" applyFill="1" applyBorder="1"/>
    <xf numFmtId="164" fontId="7" fillId="0" borderId="5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right"/>
    </xf>
    <xf numFmtId="43" fontId="10" fillId="0" borderId="5" xfId="1" applyFont="1" applyFill="1" applyBorder="1"/>
    <xf numFmtId="4" fontId="7" fillId="0" borderId="5" xfId="0" applyNumberFormat="1" applyFont="1" applyFill="1" applyBorder="1"/>
    <xf numFmtId="4" fontId="11" fillId="0" borderId="5" xfId="0" applyNumberFormat="1" applyFont="1" applyFill="1" applyBorder="1"/>
    <xf numFmtId="0" fontId="9" fillId="0" borderId="5" xfId="0" applyNumberFormat="1" applyFont="1" applyFill="1" applyBorder="1"/>
    <xf numFmtId="0" fontId="17" fillId="11" borderId="0" xfId="0" applyFont="1" applyFill="1"/>
    <xf numFmtId="0" fontId="4" fillId="0" borderId="5" xfId="0" applyFont="1" applyFill="1" applyBorder="1" applyAlignment="1">
      <alignment horizontal="center"/>
    </xf>
    <xf numFmtId="4" fontId="11" fillId="0" borderId="5" xfId="0" applyNumberFormat="1" applyFont="1" applyBorder="1"/>
    <xf numFmtId="0" fontId="9" fillId="11" borderId="0" xfId="0" applyFont="1" applyFill="1"/>
    <xf numFmtId="0" fontId="18" fillId="11" borderId="0" xfId="0" applyFont="1" applyFill="1"/>
    <xf numFmtId="0" fontId="3" fillId="9" borderId="0" xfId="0" applyFont="1" applyFill="1"/>
    <xf numFmtId="0" fontId="3" fillId="3" borderId="0" xfId="0" applyFont="1" applyFill="1"/>
    <xf numFmtId="0" fontId="18" fillId="0" borderId="0" xfId="0" applyFont="1" applyFill="1"/>
    <xf numFmtId="49" fontId="7" fillId="0" borderId="5" xfId="0" applyNumberFormat="1" applyFont="1" applyFill="1" applyBorder="1"/>
    <xf numFmtId="0" fontId="3" fillId="4" borderId="5" xfId="0" applyFont="1" applyFill="1" applyBorder="1"/>
    <xf numFmtId="43" fontId="7" fillId="0" borderId="5" xfId="1" applyFont="1" applyFill="1" applyBorder="1"/>
    <xf numFmtId="0" fontId="4" fillId="0" borderId="6" xfId="0" applyFont="1" applyFill="1" applyBorder="1"/>
    <xf numFmtId="0" fontId="3" fillId="0" borderId="4" xfId="0" applyFont="1" applyFill="1" applyBorder="1"/>
    <xf numFmtId="43" fontId="3" fillId="0" borderId="4" xfId="1" applyFont="1" applyFill="1" applyBorder="1"/>
    <xf numFmtId="43" fontId="4" fillId="0" borderId="6" xfId="1" applyFont="1" applyFill="1" applyBorder="1"/>
    <xf numFmtId="43" fontId="3" fillId="0" borderId="6" xfId="1" applyFont="1" applyFill="1" applyBorder="1" applyAlignment="1">
      <alignment horizontal="center"/>
    </xf>
    <xf numFmtId="43" fontId="4" fillId="0" borderId="4" xfId="1" applyFont="1" applyFill="1" applyBorder="1"/>
    <xf numFmtId="43" fontId="16" fillId="0" borderId="0" xfId="1" applyFill="1"/>
    <xf numFmtId="0" fontId="4" fillId="0" borderId="7" xfId="0" applyFont="1" applyBorder="1"/>
    <xf numFmtId="43" fontId="4" fillId="0" borderId="7" xfId="1" applyFont="1" applyBorder="1"/>
    <xf numFmtId="43" fontId="4" fillId="0" borderId="5" xfId="1" applyFont="1" applyBorder="1"/>
    <xf numFmtId="43" fontId="16" fillId="0" borderId="5" xfId="1" applyBorder="1"/>
    <xf numFmtId="43" fontId="3" fillId="0" borderId="0" xfId="1" applyFont="1" applyAlignment="1">
      <alignment horizontal="center"/>
    </xf>
    <xf numFmtId="0" fontId="3" fillId="8" borderId="5" xfId="1" applyNumberFormat="1" applyFont="1" applyFill="1" applyBorder="1" applyAlignment="1">
      <alignment horizontal="center"/>
    </xf>
    <xf numFmtId="0" fontId="4" fillId="8" borderId="5" xfId="1" applyNumberFormat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12" borderId="0" xfId="0" applyFont="1" applyFill="1"/>
    <xf numFmtId="0" fontId="5" fillId="12" borderId="0" xfId="0" applyFont="1" applyFill="1"/>
    <xf numFmtId="44" fontId="3" fillId="0" borderId="0" xfId="2" applyFont="1" applyFill="1" applyAlignment="1" applyProtection="1">
      <alignment horizontal="center"/>
    </xf>
    <xf numFmtId="44" fontId="3" fillId="0" borderId="0" xfId="2" applyFont="1"/>
    <xf numFmtId="44" fontId="4" fillId="2" borderId="2" xfId="2" applyFont="1" applyFill="1" applyBorder="1" applyAlignment="1">
      <alignment horizontal="center" wrapText="1"/>
    </xf>
    <xf numFmtId="44" fontId="4" fillId="2" borderId="4" xfId="2" applyFont="1" applyFill="1" applyBorder="1" applyAlignment="1">
      <alignment horizontal="center" wrapText="1"/>
    </xf>
    <xf numFmtId="44" fontId="3" fillId="0" borderId="5" xfId="2" applyFont="1" applyBorder="1"/>
    <xf numFmtId="44" fontId="3" fillId="0" borderId="5" xfId="2" applyFont="1" applyFill="1" applyBorder="1"/>
    <xf numFmtId="44" fontId="3" fillId="0" borderId="4" xfId="2" applyFont="1" applyFill="1" applyBorder="1"/>
    <xf numFmtId="44" fontId="4" fillId="0" borderId="7" xfId="2" applyFont="1" applyBorder="1"/>
    <xf numFmtId="0" fontId="3" fillId="13" borderId="5" xfId="0" applyFont="1" applyFill="1" applyBorder="1"/>
    <xf numFmtId="43" fontId="16" fillId="0" borderId="5" xfId="1" applyFont="1" applyBorder="1"/>
    <xf numFmtId="0" fontId="9" fillId="0" borderId="5" xfId="0" applyFont="1" applyBorder="1"/>
    <xf numFmtId="0" fontId="7" fillId="0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164" fontId="7" fillId="11" borderId="5" xfId="0" applyNumberFormat="1" applyFont="1" applyFill="1" applyBorder="1" applyAlignment="1">
      <alignment horizontal="left" vertical="center"/>
    </xf>
    <xf numFmtId="44" fontId="3" fillId="11" borderId="5" xfId="2" applyFont="1" applyFill="1" applyBorder="1"/>
    <xf numFmtId="43" fontId="3" fillId="11" borderId="5" xfId="1" applyFont="1" applyFill="1" applyBorder="1"/>
    <xf numFmtId="43" fontId="3" fillId="11" borderId="5" xfId="1" applyFont="1" applyFill="1" applyBorder="1" applyAlignment="1">
      <alignment horizontal="center"/>
    </xf>
    <xf numFmtId="43" fontId="10" fillId="11" borderId="5" xfId="1" applyFont="1" applyFill="1" applyBorder="1"/>
    <xf numFmtId="0" fontId="4" fillId="11" borderId="5" xfId="1" applyNumberFormat="1" applyFont="1" applyFill="1" applyBorder="1" applyAlignment="1">
      <alignment horizontal="center"/>
    </xf>
    <xf numFmtId="0" fontId="3" fillId="12" borderId="5" xfId="0" applyFont="1" applyFill="1" applyBorder="1"/>
    <xf numFmtId="0" fontId="3" fillId="12" borderId="5" xfId="0" applyFont="1" applyFill="1" applyBorder="1" applyAlignment="1">
      <alignment horizontal="right"/>
    </xf>
    <xf numFmtId="164" fontId="7" fillId="12" borderId="5" xfId="0" applyNumberFormat="1" applyFont="1" applyFill="1" applyBorder="1" applyAlignment="1">
      <alignment horizontal="left" vertical="center"/>
    </xf>
    <xf numFmtId="44" fontId="3" fillId="12" borderId="5" xfId="2" applyFont="1" applyFill="1" applyBorder="1"/>
    <xf numFmtId="43" fontId="3" fillId="12" borderId="5" xfId="1" applyFont="1" applyFill="1" applyBorder="1"/>
    <xf numFmtId="0" fontId="9" fillId="12" borderId="8" xfId="3" applyFont="1" applyFill="1" applyBorder="1"/>
    <xf numFmtId="0" fontId="4" fillId="12" borderId="5" xfId="0" applyFont="1" applyFill="1" applyBorder="1"/>
    <xf numFmtId="0" fontId="0" fillId="0" borderId="0" xfId="0"/>
    <xf numFmtId="0" fontId="19" fillId="0" borderId="0" xfId="0" applyFont="1"/>
    <xf numFmtId="49" fontId="19" fillId="0" borderId="0" xfId="0" applyNumberFormat="1" applyFont="1"/>
    <xf numFmtId="49" fontId="20" fillId="0" borderId="0" xfId="0" applyNumberFormat="1" applyFont="1" applyAlignment="1">
      <alignment horizontal="centerContinuous"/>
    </xf>
    <xf numFmtId="49" fontId="21" fillId="0" borderId="0" xfId="0" applyNumberFormat="1" applyFont="1" applyAlignment="1">
      <alignment horizontal="centerContinuous" vertical="top"/>
    </xf>
    <xf numFmtId="0" fontId="19" fillId="0" borderId="0" xfId="0" applyFont="1" applyAlignment="1">
      <alignment horizontal="right"/>
    </xf>
    <xf numFmtId="49" fontId="22" fillId="10" borderId="15" xfId="0" applyNumberFormat="1" applyFont="1" applyFill="1" applyBorder="1" applyAlignment="1">
      <alignment horizontal="center" wrapText="1"/>
    </xf>
    <xf numFmtId="0" fontId="22" fillId="10" borderId="15" xfId="0" applyFont="1" applyFill="1" applyBorder="1" applyAlignment="1">
      <alignment horizontal="center" wrapText="1"/>
    </xf>
    <xf numFmtId="49" fontId="22" fillId="0" borderId="0" xfId="0" applyNumberFormat="1" applyFont="1"/>
    <xf numFmtId="49" fontId="13" fillId="0" borderId="0" xfId="0" applyNumberFormat="1" applyFont="1"/>
    <xf numFmtId="49" fontId="19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left"/>
    </xf>
    <xf numFmtId="12" fontId="3" fillId="11" borderId="5" xfId="1" applyNumberFormat="1" applyFont="1" applyFill="1" applyBorder="1"/>
    <xf numFmtId="43" fontId="8" fillId="11" borderId="5" xfId="1" applyFont="1" applyFill="1" applyBorder="1"/>
    <xf numFmtId="43" fontId="4" fillId="11" borderId="5" xfId="1" applyFont="1" applyFill="1" applyBorder="1"/>
    <xf numFmtId="43" fontId="16" fillId="11" borderId="5" xfId="1" applyFont="1" applyFill="1" applyBorder="1"/>
    <xf numFmtId="4" fontId="7" fillId="11" borderId="5" xfId="0" applyNumberFormat="1" applyFont="1" applyFill="1" applyBorder="1" applyAlignment="1">
      <alignment wrapText="1"/>
    </xf>
    <xf numFmtId="4" fontId="11" fillId="11" borderId="5" xfId="0" applyNumberFormat="1" applyFont="1" applyFill="1" applyBorder="1" applyAlignment="1">
      <alignment horizontal="right" wrapText="1"/>
    </xf>
    <xf numFmtId="43" fontId="7" fillId="11" borderId="5" xfId="0" applyNumberFormat="1" applyFont="1" applyFill="1" applyBorder="1"/>
    <xf numFmtId="0" fontId="7" fillId="11" borderId="5" xfId="0" applyNumberFormat="1" applyFont="1" applyFill="1" applyBorder="1"/>
    <xf numFmtId="0" fontId="3" fillId="11" borderId="0" xfId="0" applyFont="1" applyFill="1"/>
    <xf numFmtId="0" fontId="11" fillId="11" borderId="5" xfId="0" applyFont="1" applyFill="1" applyBorder="1" applyAlignment="1">
      <alignment horizontal="right" wrapText="1"/>
    </xf>
    <xf numFmtId="0" fontId="4" fillId="11" borderId="5" xfId="0" applyFont="1" applyFill="1" applyBorder="1"/>
    <xf numFmtId="43" fontId="16" fillId="11" borderId="5" xfId="1" applyFill="1" applyBorder="1"/>
    <xf numFmtId="0" fontId="4" fillId="11" borderId="5" xfId="0" applyFont="1" applyFill="1" applyBorder="1" applyAlignment="1"/>
    <xf numFmtId="0" fontId="3" fillId="11" borderId="5" xfId="1" applyNumberFormat="1" applyFont="1" applyFill="1" applyBorder="1" applyAlignment="1">
      <alignment horizontal="center"/>
    </xf>
    <xf numFmtId="49" fontId="7" fillId="11" borderId="5" xfId="0" applyNumberFormat="1" applyFont="1" applyFill="1" applyBorder="1"/>
    <xf numFmtId="0" fontId="9" fillId="11" borderId="5" xfId="3" applyFont="1" applyFill="1" applyBorder="1"/>
    <xf numFmtId="43" fontId="7" fillId="11" borderId="8" xfId="0" applyNumberFormat="1" applyFont="1" applyFill="1" applyBorder="1"/>
    <xf numFmtId="49" fontId="22" fillId="10" borderId="15" xfId="0" applyNumberFormat="1" applyFont="1" applyFill="1" applyBorder="1" applyAlignment="1">
      <alignment horizontal="center" vertical="center" wrapText="1"/>
    </xf>
    <xf numFmtId="0" fontId="0" fillId="0" borderId="0" xfId="0"/>
    <xf numFmtId="0" fontId="19" fillId="0" borderId="0" xfId="0" applyFont="1"/>
    <xf numFmtId="49" fontId="19" fillId="0" borderId="0" xfId="0" applyNumberFormat="1" applyFont="1"/>
    <xf numFmtId="49" fontId="20" fillId="0" borderId="0" xfId="0" applyNumberFormat="1" applyFont="1" applyAlignment="1">
      <alignment horizontal="centerContinuous"/>
    </xf>
    <xf numFmtId="49" fontId="21" fillId="0" borderId="0" xfId="0" applyNumberFormat="1" applyFont="1" applyAlignment="1">
      <alignment horizontal="centerContinuous" vertical="top"/>
    </xf>
    <xf numFmtId="0" fontId="19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49" fontId="22" fillId="10" borderId="15" xfId="0" applyNumberFormat="1" applyFont="1" applyFill="1" applyBorder="1" applyAlignment="1">
      <alignment horizontal="center" wrapText="1"/>
    </xf>
    <xf numFmtId="0" fontId="22" fillId="10" borderId="15" xfId="0" applyFont="1" applyFill="1" applyBorder="1" applyAlignment="1">
      <alignment horizontal="center" wrapText="1"/>
    </xf>
    <xf numFmtId="0" fontId="12" fillId="10" borderId="15" xfId="0" applyFont="1" applyFill="1" applyBorder="1" applyAlignment="1">
      <alignment horizontal="center" wrapText="1"/>
    </xf>
    <xf numFmtId="49" fontId="22" fillId="0" borderId="0" xfId="0" applyNumberFormat="1" applyFont="1"/>
    <xf numFmtId="165" fontId="19" fillId="0" borderId="0" xfId="0" applyNumberFormat="1" applyFont="1"/>
    <xf numFmtId="165" fontId="14" fillId="0" borderId="0" xfId="0" applyNumberFormat="1" applyFont="1"/>
    <xf numFmtId="49" fontId="19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left"/>
    </xf>
    <xf numFmtId="0" fontId="22" fillId="0" borderId="0" xfId="0" applyFont="1"/>
    <xf numFmtId="165" fontId="22" fillId="0" borderId="0" xfId="0" applyNumberFormat="1" applyFont="1"/>
    <xf numFmtId="165" fontId="15" fillId="0" borderId="0" xfId="0" applyNumberFormat="1" applyFont="1"/>
    <xf numFmtId="0" fontId="22" fillId="10" borderId="15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10" borderId="16" xfId="0" applyFont="1" applyFill="1" applyBorder="1" applyAlignment="1">
      <alignment horizontal="center" vertical="center" wrapText="1"/>
    </xf>
    <xf numFmtId="43" fontId="19" fillId="0" borderId="0" xfId="0" applyNumberFormat="1" applyFont="1"/>
    <xf numFmtId="43" fontId="19" fillId="0" borderId="0" xfId="1" applyFont="1"/>
    <xf numFmtId="165" fontId="19" fillId="0" borderId="0" xfId="0" applyNumberFormat="1" applyFont="1" applyFill="1"/>
    <xf numFmtId="0" fontId="19" fillId="0" borderId="0" xfId="0" applyFont="1" applyFill="1"/>
    <xf numFmtId="43" fontId="19" fillId="0" borderId="0" xfId="0" applyNumberFormat="1" applyFont="1" applyFill="1"/>
    <xf numFmtId="0" fontId="0" fillId="0" borderId="0" xfId="0" applyFill="1"/>
    <xf numFmtId="43" fontId="19" fillId="0" borderId="0" xfId="1" applyFont="1" applyFill="1"/>
    <xf numFmtId="165" fontId="0" fillId="0" borderId="0" xfId="0" applyNumberFormat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24" fillId="0" borderId="0" xfId="0" applyFont="1" applyAlignment="1">
      <alignment vertical="center"/>
    </xf>
    <xf numFmtId="0" fontId="25" fillId="0" borderId="0" xfId="0" applyFont="1" applyAlignment="1"/>
    <xf numFmtId="0" fontId="26" fillId="0" borderId="0" xfId="0" applyFont="1" applyAlignment="1"/>
    <xf numFmtId="49" fontId="20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 vertical="top"/>
    </xf>
    <xf numFmtId="43" fontId="16" fillId="0" borderId="0" xfId="1" applyFont="1"/>
    <xf numFmtId="43" fontId="27" fillId="0" borderId="9" xfId="0" applyNumberFormat="1" applyFont="1" applyBorder="1"/>
    <xf numFmtId="49" fontId="19" fillId="14" borderId="0" xfId="0" applyNumberFormat="1" applyFont="1" applyFill="1"/>
    <xf numFmtId="0" fontId="19" fillId="14" borderId="0" xfId="0" applyFont="1" applyFill="1"/>
    <xf numFmtId="165" fontId="19" fillId="14" borderId="0" xfId="0" applyNumberFormat="1" applyFont="1" applyFill="1"/>
    <xf numFmtId="43" fontId="19" fillId="14" borderId="0" xfId="0" applyNumberFormat="1" applyFont="1" applyFill="1"/>
    <xf numFmtId="0" fontId="0" fillId="14" borderId="0" xfId="0" applyFill="1"/>
    <xf numFmtId="43" fontId="19" fillId="14" borderId="0" xfId="1" applyFont="1" applyFill="1"/>
    <xf numFmtId="0" fontId="3" fillId="14" borderId="5" xfId="0" applyFont="1" applyFill="1" applyBorder="1"/>
    <xf numFmtId="164" fontId="7" fillId="14" borderId="5" xfId="0" applyNumberFormat="1" applyFont="1" applyFill="1" applyBorder="1" applyAlignment="1">
      <alignment horizontal="left" vertical="center"/>
    </xf>
    <xf numFmtId="44" fontId="3" fillId="14" borderId="5" xfId="2" applyFont="1" applyFill="1" applyBorder="1"/>
    <xf numFmtId="43" fontId="3" fillId="14" borderId="5" xfId="1" applyFont="1" applyFill="1" applyBorder="1"/>
    <xf numFmtId="43" fontId="8" fillId="14" borderId="5" xfId="1" applyFont="1" applyFill="1" applyBorder="1"/>
    <xf numFmtId="43" fontId="4" fillId="14" borderId="5" xfId="1" applyFont="1" applyFill="1" applyBorder="1"/>
    <xf numFmtId="0" fontId="4" fillId="14" borderId="5" xfId="1" applyNumberFormat="1" applyFont="1" applyFill="1" applyBorder="1" applyAlignment="1">
      <alignment horizontal="center"/>
    </xf>
    <xf numFmtId="43" fontId="3" fillId="14" borderId="5" xfId="1" applyFont="1" applyFill="1" applyBorder="1" applyAlignment="1">
      <alignment horizontal="center"/>
    </xf>
    <xf numFmtId="43" fontId="16" fillId="14" borderId="5" xfId="1" applyFont="1" applyFill="1" applyBorder="1"/>
    <xf numFmtId="43" fontId="10" fillId="14" borderId="5" xfId="1" applyFont="1" applyFill="1" applyBorder="1"/>
    <xf numFmtId="4" fontId="7" fillId="14" borderId="5" xfId="0" applyNumberFormat="1" applyFont="1" applyFill="1" applyBorder="1" applyAlignment="1">
      <alignment wrapText="1"/>
    </xf>
    <xf numFmtId="4" fontId="11" fillId="14" borderId="5" xfId="0" applyNumberFormat="1" applyFont="1" applyFill="1" applyBorder="1" applyAlignment="1">
      <alignment horizontal="right" wrapText="1"/>
    </xf>
    <xf numFmtId="43" fontId="7" fillId="14" borderId="5" xfId="0" applyNumberFormat="1" applyFont="1" applyFill="1" applyBorder="1"/>
    <xf numFmtId="0" fontId="3" fillId="14" borderId="5" xfId="0" applyFont="1" applyFill="1" applyBorder="1" applyAlignment="1">
      <alignment horizontal="right"/>
    </xf>
    <xf numFmtId="0" fontId="9" fillId="14" borderId="5" xfId="0" applyFont="1" applyFill="1" applyBorder="1"/>
    <xf numFmtId="0" fontId="11" fillId="14" borderId="5" xfId="0" applyFont="1" applyFill="1" applyBorder="1" applyAlignment="1">
      <alignment horizontal="right" wrapText="1"/>
    </xf>
    <xf numFmtId="0" fontId="4" fillId="14" borderId="5" xfId="0" applyFont="1" applyFill="1" applyBorder="1" applyAlignment="1"/>
    <xf numFmtId="43" fontId="16" fillId="14" borderId="0" xfId="1" applyFont="1" applyFill="1"/>
    <xf numFmtId="49" fontId="19" fillId="0" borderId="0" xfId="0" applyNumberFormat="1" applyFont="1" applyFill="1"/>
    <xf numFmtId="43" fontId="8" fillId="0" borderId="5" xfId="1" applyFont="1" applyFill="1" applyBorder="1"/>
    <xf numFmtId="43" fontId="4" fillId="0" borderId="5" xfId="1" applyFont="1" applyFill="1" applyBorder="1"/>
    <xf numFmtId="0" fontId="4" fillId="0" borderId="5" xfId="1" applyNumberFormat="1" applyFont="1" applyFill="1" applyBorder="1" applyAlignment="1">
      <alignment horizontal="center"/>
    </xf>
    <xf numFmtId="43" fontId="16" fillId="0" borderId="5" xfId="1" applyFont="1" applyFill="1" applyBorder="1"/>
    <xf numFmtId="4" fontId="7" fillId="0" borderId="5" xfId="0" applyNumberFormat="1" applyFont="1" applyFill="1" applyBorder="1" applyAlignment="1">
      <alignment wrapText="1"/>
    </xf>
    <xf numFmtId="4" fontId="11" fillId="0" borderId="5" xfId="0" applyNumberFormat="1" applyFont="1" applyFill="1" applyBorder="1" applyAlignment="1">
      <alignment horizontal="right" wrapText="1"/>
    </xf>
    <xf numFmtId="0" fontId="31" fillId="0" borderId="17" xfId="0" applyFont="1" applyBorder="1"/>
    <xf numFmtId="0" fontId="30" fillId="0" borderId="17" xfId="0" applyFont="1" applyBorder="1"/>
    <xf numFmtId="0" fontId="0" fillId="0" borderId="17" xfId="0" applyFont="1" applyBorder="1"/>
    <xf numFmtId="14" fontId="31" fillId="0" borderId="17" xfId="0" applyNumberFormat="1" applyFont="1" applyBorder="1"/>
    <xf numFmtId="43" fontId="16" fillId="0" borderId="17" xfId="1" applyFont="1" applyBorder="1"/>
    <xf numFmtId="0" fontId="0" fillId="0" borderId="17" xfId="0" applyBorder="1"/>
    <xf numFmtId="43" fontId="16" fillId="0" borderId="18" xfId="1" applyFont="1" applyBorder="1"/>
    <xf numFmtId="43" fontId="16" fillId="0" borderId="19" xfId="1" applyFont="1" applyBorder="1"/>
    <xf numFmtId="43" fontId="16" fillId="0" borderId="20" xfId="1" applyFont="1" applyBorder="1"/>
    <xf numFmtId="43" fontId="16" fillId="0" borderId="21" xfId="1" applyFont="1" applyBorder="1"/>
    <xf numFmtId="43" fontId="30" fillId="0" borderId="20" xfId="1" applyFont="1" applyBorder="1"/>
    <xf numFmtId="43" fontId="4" fillId="2" borderId="2" xfId="1" applyFont="1" applyFill="1" applyBorder="1" applyAlignment="1">
      <alignment horizontal="center" wrapText="1"/>
    </xf>
    <xf numFmtId="43" fontId="4" fillId="2" borderId="4" xfId="1" applyFont="1" applyFill="1" applyBorder="1" applyAlignment="1">
      <alignment horizontal="center" wrapText="1"/>
    </xf>
    <xf numFmtId="43" fontId="16" fillId="2" borderId="10" xfId="1" applyFill="1" applyBorder="1" applyAlignment="1">
      <alignment horizontal="center" wrapText="1"/>
    </xf>
    <xf numFmtId="43" fontId="16" fillId="2" borderId="11" xfId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0" fontId="28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0" fillId="13" borderId="5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/>
    </xf>
    <xf numFmtId="0" fontId="0" fillId="0" borderId="5" xfId="0" applyBorder="1"/>
    <xf numFmtId="43" fontId="0" fillId="0" borderId="5" xfId="0" applyNumberFormat="1" applyBorder="1"/>
    <xf numFmtId="4" fontId="0" fillId="0" borderId="5" xfId="0" applyNumberFormat="1" applyBorder="1"/>
    <xf numFmtId="8" fontId="0" fillId="0" borderId="5" xfId="0" applyNumberFormat="1" applyBorder="1"/>
  </cellXfs>
  <cellStyles count="5">
    <cellStyle name="Millares" xfId="1" builtinId="3"/>
    <cellStyle name="Moneda" xfId="2" builtinId="4"/>
    <cellStyle name="Normal" xfId="0" builtinId="0"/>
    <cellStyle name="Normal 2 2" xfId="3"/>
    <cellStyle name="Normal_Hoja1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2">
          <cell r="D22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3">
          <cell r="D33">
            <v>1095.5999999999999</v>
          </cell>
        </row>
        <row r="35">
          <cell r="D35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4">
          <cell r="D44">
            <v>1095.5999999999999</v>
          </cell>
        </row>
        <row r="52">
          <cell r="D52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89"/>
  <sheetViews>
    <sheetView workbookViewId="0">
      <pane xSplit="2" ySplit="11" topLeftCell="K63" activePane="bottomRight" state="frozen"/>
      <selection pane="topRight" activeCell="C1" sqref="C1"/>
      <selection pane="bottomLeft" activeCell="A12" sqref="A12"/>
      <selection pane="bottomRight" activeCell="L13" sqref="L13:L50"/>
    </sheetView>
  </sheetViews>
  <sheetFormatPr baseColWidth="10" defaultRowHeight="15.75"/>
  <cols>
    <col min="2" max="2" width="31.140625" bestFit="1" customWidth="1"/>
    <col min="4" max="5" width="10.5703125" style="144" customWidth="1"/>
    <col min="6" max="6" width="11.42578125" style="144"/>
    <col min="7" max="7" width="5" style="144" customWidth="1"/>
    <col min="8" max="8" width="11.42578125" style="144"/>
    <col min="9" max="9" width="8.7109375" style="144" customWidth="1"/>
    <col min="10" max="10" width="8.140625" style="144" customWidth="1"/>
    <col min="11" max="11" width="10" style="144" customWidth="1"/>
    <col min="12" max="12" width="10.140625" style="144" customWidth="1"/>
    <col min="13" max="13" width="9.42578125" style="144" customWidth="1"/>
    <col min="14" max="14" width="9.7109375" style="144" customWidth="1"/>
    <col min="15" max="15" width="4.85546875" style="144" customWidth="1"/>
    <col min="16" max="18" width="11.42578125" style="144"/>
    <col min="20" max="20" width="28.7109375" style="16" customWidth="1"/>
    <col min="21" max="21" width="50.42578125" style="16" bestFit="1" customWidth="1"/>
    <col min="22" max="22" width="8.85546875" style="16" customWidth="1"/>
    <col min="23" max="23" width="19.85546875" style="16" customWidth="1"/>
    <col min="24" max="24" width="36" style="16" bestFit="1" customWidth="1"/>
    <col min="25" max="25" width="13.85546875" style="88" bestFit="1" customWidth="1"/>
    <col min="26" max="26" width="20.28515625" style="13" customWidth="1"/>
    <col min="27" max="27" width="21.7109375" style="13" customWidth="1"/>
    <col min="28" max="28" width="15.7109375" style="13" customWidth="1"/>
    <col min="29" max="29" width="17" style="14" customWidth="1"/>
    <col min="30" max="30" width="13.5703125" style="13" customWidth="1"/>
    <col min="31" max="31" width="13.5703125" style="78" customWidth="1"/>
    <col min="32" max="36" width="13.5703125" style="13" customWidth="1"/>
    <col min="37" max="37" width="16.7109375" style="14" customWidth="1"/>
    <col min="38" max="38" width="16.7109375" style="13" customWidth="1"/>
    <col min="39" max="39" width="15.42578125" style="14" customWidth="1"/>
    <col min="40" max="41" width="13.5703125" style="13" hidden="1" customWidth="1"/>
    <col min="42" max="42" width="15.42578125" style="14" hidden="1" customWidth="1"/>
    <col min="43" max="44" width="15.140625" style="15" hidden="1" customWidth="1"/>
    <col min="45" max="45" width="15.140625" style="16" hidden="1" customWidth="1"/>
    <col min="46" max="46" width="17.42578125" style="16" bestFit="1" customWidth="1"/>
    <col min="47" max="47" width="35.7109375" style="16" customWidth="1"/>
  </cols>
  <sheetData>
    <row r="1" spans="1:49">
      <c r="A1" s="146" t="s">
        <v>160</v>
      </c>
      <c r="B1" s="150" t="s">
        <v>161</v>
      </c>
      <c r="C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T1" s="1" t="s">
        <v>0</v>
      </c>
      <c r="U1" s="1"/>
      <c r="V1" s="1"/>
      <c r="W1" s="1"/>
      <c r="X1" s="2"/>
      <c r="Y1" s="87"/>
      <c r="Z1" s="3"/>
      <c r="AA1" s="3"/>
      <c r="AB1" s="3"/>
      <c r="AC1" s="4"/>
      <c r="AD1" s="3"/>
      <c r="AE1" s="3"/>
      <c r="AF1" s="3"/>
      <c r="AG1" s="3"/>
      <c r="AH1" s="3"/>
      <c r="AI1" s="3"/>
      <c r="AJ1" s="3"/>
      <c r="AK1" s="4"/>
      <c r="AL1" s="3"/>
      <c r="AM1" s="4"/>
      <c r="AN1" s="3"/>
      <c r="AO1" s="3"/>
      <c r="AP1" s="4"/>
      <c r="AQ1" s="5"/>
      <c r="AR1" s="5"/>
      <c r="AS1" s="6"/>
      <c r="AT1" s="6"/>
      <c r="AU1" s="6"/>
    </row>
    <row r="2" spans="1:49" ht="18">
      <c r="A2" s="147" t="s">
        <v>162</v>
      </c>
      <c r="B2" s="177" t="s">
        <v>163</v>
      </c>
      <c r="C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T2" s="8" t="s">
        <v>1</v>
      </c>
      <c r="U2" s="8"/>
      <c r="V2" s="8"/>
      <c r="W2" s="8"/>
      <c r="X2" s="9"/>
      <c r="Y2" s="87"/>
      <c r="Z2" s="3"/>
      <c r="AA2" s="3"/>
      <c r="AB2" s="3"/>
      <c r="AC2" s="4"/>
      <c r="AD2" s="3" t="s">
        <v>2</v>
      </c>
      <c r="AE2" s="3"/>
      <c r="AF2" s="3"/>
      <c r="AG2" s="3"/>
      <c r="AH2" s="3"/>
      <c r="AI2" s="3"/>
      <c r="AJ2" s="3"/>
      <c r="AK2" s="4"/>
      <c r="AL2" s="3"/>
      <c r="AM2" s="4"/>
      <c r="AN2" s="3"/>
      <c r="AO2" s="3"/>
      <c r="AP2" s="4"/>
      <c r="AQ2" s="5"/>
      <c r="AR2" s="5"/>
      <c r="AS2" s="6"/>
      <c r="AT2" s="6"/>
      <c r="AU2" s="6"/>
    </row>
    <row r="3" spans="1:49">
      <c r="A3" s="143"/>
      <c r="B3" s="178" t="s">
        <v>164</v>
      </c>
      <c r="C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T3" s="8"/>
      <c r="U3" s="8"/>
      <c r="V3" s="8"/>
      <c r="W3" s="8"/>
      <c r="X3" s="9"/>
      <c r="Y3" s="87"/>
      <c r="Z3" s="3"/>
      <c r="AA3" s="3"/>
      <c r="AB3" s="3"/>
      <c r="AC3" s="4"/>
      <c r="AD3" s="3"/>
      <c r="AE3" s="3"/>
      <c r="AF3" s="3"/>
      <c r="AG3" s="3"/>
      <c r="AH3" s="3"/>
      <c r="AI3" s="3"/>
      <c r="AJ3" s="3"/>
      <c r="AK3" s="4"/>
      <c r="AL3" s="3"/>
      <c r="AM3" s="4"/>
      <c r="AN3" s="3"/>
      <c r="AO3" s="3"/>
      <c r="AP3" s="4"/>
      <c r="AQ3" s="5"/>
      <c r="AR3" s="5"/>
      <c r="AS3" s="6"/>
      <c r="AT3" s="6"/>
      <c r="AU3" s="6"/>
      <c r="AV3" s="143"/>
      <c r="AW3" s="143"/>
    </row>
    <row r="4" spans="1:49">
      <c r="A4" s="143"/>
      <c r="B4" s="179" t="s">
        <v>165</v>
      </c>
      <c r="C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T4" s="8"/>
      <c r="U4" s="8"/>
      <c r="V4" s="8"/>
      <c r="W4" s="8"/>
      <c r="X4" s="9"/>
      <c r="Y4" s="87"/>
      <c r="Z4" s="3"/>
      <c r="AA4" s="3"/>
      <c r="AB4" s="3"/>
      <c r="AC4" s="4"/>
      <c r="AD4" s="3"/>
      <c r="AE4" s="3"/>
      <c r="AF4" s="3"/>
      <c r="AG4" s="3"/>
      <c r="AH4" s="3"/>
      <c r="AI4" s="3"/>
      <c r="AJ4" s="3"/>
      <c r="AK4" s="4"/>
      <c r="AL4" s="3"/>
      <c r="AM4" s="4"/>
      <c r="AN4" s="3"/>
      <c r="AO4" s="3"/>
      <c r="AP4" s="4"/>
      <c r="AQ4" s="5"/>
      <c r="AR4" s="5"/>
      <c r="AS4" s="6"/>
      <c r="AT4" s="6"/>
      <c r="AU4" s="6"/>
      <c r="AV4" s="143"/>
      <c r="AW4" s="143"/>
    </row>
    <row r="5" spans="1:49">
      <c r="A5" s="143"/>
      <c r="B5" s="151" t="s">
        <v>166</v>
      </c>
      <c r="C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T5" s="8"/>
      <c r="U5" s="8"/>
      <c r="V5" s="8"/>
      <c r="W5" s="8"/>
      <c r="X5" s="9"/>
      <c r="Y5" s="87"/>
      <c r="Z5" s="3"/>
      <c r="AA5" s="3"/>
      <c r="AB5" s="3"/>
      <c r="AC5" s="4"/>
      <c r="AD5" s="3"/>
      <c r="AE5" s="3"/>
      <c r="AF5" s="3"/>
      <c r="AG5" s="3"/>
      <c r="AH5" s="3"/>
      <c r="AI5" s="3"/>
      <c r="AJ5" s="3"/>
      <c r="AK5" s="4"/>
      <c r="AL5" s="3"/>
      <c r="AM5" s="4"/>
      <c r="AN5" s="3"/>
      <c r="AO5" s="3"/>
      <c r="AP5" s="4"/>
      <c r="AQ5" s="5"/>
      <c r="AR5" s="5"/>
      <c r="AS5" s="6"/>
      <c r="AT5" s="6"/>
      <c r="AU5" s="6"/>
      <c r="AV5" s="143"/>
      <c r="AW5" s="143"/>
    </row>
    <row r="6" spans="1:49">
      <c r="A6" s="143"/>
      <c r="B6" s="151" t="s">
        <v>167</v>
      </c>
      <c r="C6" s="143"/>
      <c r="H6" s="238" t="s">
        <v>308</v>
      </c>
      <c r="I6" s="238"/>
      <c r="J6" s="238"/>
      <c r="K6" s="238"/>
      <c r="L6" s="238"/>
      <c r="M6" s="238"/>
      <c r="N6" s="238"/>
      <c r="O6" s="238"/>
      <c r="P6" s="238"/>
      <c r="Q6" s="238"/>
      <c r="R6" s="238"/>
      <c r="T6" s="8"/>
      <c r="U6" s="8"/>
      <c r="V6" s="8"/>
      <c r="W6" s="8"/>
      <c r="X6" s="9"/>
      <c r="Y6" s="87"/>
      <c r="Z6" s="3"/>
      <c r="AA6" s="3"/>
      <c r="AB6" s="3"/>
      <c r="AC6" s="4"/>
      <c r="AD6" s="3"/>
      <c r="AE6" s="3"/>
      <c r="AF6" s="3"/>
      <c r="AG6" s="3"/>
      <c r="AH6" s="3"/>
      <c r="AI6" s="3"/>
      <c r="AJ6" s="3"/>
      <c r="AK6" s="4"/>
      <c r="AL6" s="3"/>
      <c r="AM6" s="4"/>
      <c r="AN6" s="3"/>
      <c r="AO6" s="3"/>
      <c r="AP6" s="4"/>
      <c r="AQ6" s="5"/>
      <c r="AR6" s="5"/>
      <c r="AS6" s="6"/>
      <c r="AT6" s="6"/>
      <c r="AU6" s="6"/>
      <c r="AV6" s="143"/>
      <c r="AW6" s="143"/>
    </row>
    <row r="7" spans="1:49">
      <c r="H7" s="239" t="s">
        <v>309</v>
      </c>
      <c r="I7" s="240"/>
      <c r="J7" s="240"/>
      <c r="K7" s="240"/>
      <c r="L7" s="240"/>
      <c r="M7" s="240"/>
      <c r="N7" s="241"/>
      <c r="O7" s="143"/>
      <c r="P7" s="239" t="s">
        <v>310</v>
      </c>
      <c r="Q7" s="240"/>
      <c r="R7" s="241"/>
      <c r="T7" s="8"/>
      <c r="U7" s="8"/>
      <c r="V7" s="8"/>
      <c r="W7" s="8"/>
      <c r="X7" s="9"/>
      <c r="Y7" s="87"/>
      <c r="Z7" s="3"/>
      <c r="AA7" s="3"/>
      <c r="AB7" s="3"/>
      <c r="AC7" s="4"/>
      <c r="AD7" s="3"/>
      <c r="AE7" s="3"/>
      <c r="AF7" s="3"/>
      <c r="AG7" s="3"/>
      <c r="AH7" s="3"/>
      <c r="AI7" s="3"/>
      <c r="AJ7" s="3"/>
      <c r="AK7" s="4"/>
      <c r="AL7" s="3"/>
      <c r="AM7" s="4"/>
      <c r="AN7" s="3"/>
      <c r="AO7" s="3"/>
      <c r="AP7" s="4"/>
      <c r="AQ7" s="5"/>
      <c r="AR7" s="5"/>
      <c r="AS7" s="6"/>
      <c r="AT7" s="6"/>
      <c r="AU7" s="6"/>
      <c r="AV7" s="143"/>
      <c r="AW7" s="143"/>
    </row>
    <row r="8" spans="1:49" ht="35.25" thickBot="1">
      <c r="A8" s="153" t="s">
        <v>168</v>
      </c>
      <c r="B8" s="154" t="s">
        <v>169</v>
      </c>
      <c r="C8" s="155" t="s">
        <v>171</v>
      </c>
      <c r="D8" s="164" t="s">
        <v>303</v>
      </c>
      <c r="E8" s="164" t="s">
        <v>318</v>
      </c>
      <c r="F8" s="165" t="s">
        <v>171</v>
      </c>
      <c r="H8" s="168" t="s">
        <v>171</v>
      </c>
      <c r="I8" s="168" t="s">
        <v>311</v>
      </c>
      <c r="J8" s="168" t="s">
        <v>312</v>
      </c>
      <c r="K8" s="168" t="s">
        <v>313</v>
      </c>
      <c r="L8" s="168" t="s">
        <v>314</v>
      </c>
      <c r="M8" s="168" t="s">
        <v>315</v>
      </c>
      <c r="N8" s="168" t="s">
        <v>316</v>
      </c>
      <c r="O8" s="148"/>
      <c r="P8" s="168" t="s">
        <v>317</v>
      </c>
      <c r="Q8" s="168" t="s">
        <v>315</v>
      </c>
      <c r="R8" s="168" t="s">
        <v>316</v>
      </c>
      <c r="T8" s="10" t="s">
        <v>148</v>
      </c>
      <c r="U8" s="10" t="s">
        <v>149</v>
      </c>
      <c r="V8" s="10"/>
      <c r="W8" s="10"/>
      <c r="X8" s="11"/>
      <c r="Y8" s="87"/>
      <c r="Z8" s="3"/>
      <c r="AA8" s="3"/>
      <c r="AB8" s="3"/>
      <c r="AC8" s="4"/>
      <c r="AD8" s="3"/>
      <c r="AE8" s="3"/>
      <c r="AF8" s="3"/>
      <c r="AG8" s="3"/>
      <c r="AH8" s="3"/>
      <c r="AI8" s="3"/>
      <c r="AJ8" s="3"/>
      <c r="AK8" s="4"/>
      <c r="AL8" s="3"/>
      <c r="AM8" s="4"/>
      <c r="AN8" s="3"/>
      <c r="AO8" s="3"/>
      <c r="AP8" s="4"/>
      <c r="AQ8" s="5"/>
      <c r="AR8" s="5"/>
      <c r="AS8" s="6"/>
      <c r="AT8" s="6"/>
      <c r="AU8" s="6"/>
    </row>
    <row r="9" spans="1:49" ht="16.5" thickTop="1">
      <c r="A9" s="122" t="s">
        <v>178</v>
      </c>
      <c r="B9" s="143"/>
      <c r="C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T9" s="12"/>
      <c r="U9" s="12"/>
      <c r="V9" s="12"/>
      <c r="W9" s="12"/>
      <c r="X9" s="12"/>
      <c r="AU9" s="12"/>
    </row>
    <row r="10" spans="1:49"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T10" s="236" t="s">
        <v>3</v>
      </c>
      <c r="U10" s="236" t="s">
        <v>4</v>
      </c>
      <c r="V10" s="236" t="s">
        <v>5</v>
      </c>
      <c r="W10" s="19"/>
      <c r="X10" s="236" t="s">
        <v>6</v>
      </c>
      <c r="Y10" s="89"/>
      <c r="Z10" s="230" t="s">
        <v>7</v>
      </c>
      <c r="AA10" s="230" t="s">
        <v>8</v>
      </c>
      <c r="AB10" s="230" t="s">
        <v>9</v>
      </c>
      <c r="AC10" s="230" t="s">
        <v>10</v>
      </c>
      <c r="AD10" s="230" t="s">
        <v>11</v>
      </c>
      <c r="AE10" s="20"/>
      <c r="AF10" s="230" t="s">
        <v>12</v>
      </c>
      <c r="AG10" s="230" t="s">
        <v>13</v>
      </c>
      <c r="AH10" s="230" t="s">
        <v>14</v>
      </c>
      <c r="AI10" s="230" t="s">
        <v>15</v>
      </c>
      <c r="AJ10" s="230" t="s">
        <v>16</v>
      </c>
      <c r="AK10" s="230" t="s">
        <v>17</v>
      </c>
      <c r="AL10" s="230" t="s">
        <v>18</v>
      </c>
      <c r="AM10" s="230" t="s">
        <v>19</v>
      </c>
      <c r="AN10" s="230" t="s">
        <v>20</v>
      </c>
      <c r="AO10" s="230" t="s">
        <v>21</v>
      </c>
      <c r="AP10" s="230" t="s">
        <v>22</v>
      </c>
      <c r="AQ10" s="232" t="s">
        <v>23</v>
      </c>
      <c r="AR10" s="233"/>
      <c r="AS10" s="234" t="s">
        <v>24</v>
      </c>
      <c r="AT10" s="21"/>
      <c r="AU10" s="21" t="s">
        <v>25</v>
      </c>
    </row>
    <row r="11" spans="1:49" ht="31.5">
      <c r="A11" s="156" t="s">
        <v>179</v>
      </c>
      <c r="B11" s="143"/>
      <c r="C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T11" s="237"/>
      <c r="U11" s="237"/>
      <c r="V11" s="237"/>
      <c r="W11" s="24" t="s">
        <v>26</v>
      </c>
      <c r="X11" s="237"/>
      <c r="Y11" s="90" t="s">
        <v>27</v>
      </c>
      <c r="Z11" s="231"/>
      <c r="AA11" s="231"/>
      <c r="AB11" s="231"/>
      <c r="AC11" s="231"/>
      <c r="AD11" s="231"/>
      <c r="AE11" s="25" t="s">
        <v>28</v>
      </c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6" t="s">
        <v>29</v>
      </c>
      <c r="AR11" s="26" t="s">
        <v>30</v>
      </c>
      <c r="AS11" s="230"/>
      <c r="AT11" s="21" t="s">
        <v>31</v>
      </c>
      <c r="AU11" s="21"/>
    </row>
    <row r="12" spans="1:49">
      <c r="A12" s="145" t="s">
        <v>180</v>
      </c>
      <c r="B12" s="144" t="s">
        <v>181</v>
      </c>
      <c r="C12" s="157">
        <f>+FISCAL!F12</f>
        <v>2750.1</v>
      </c>
      <c r="D12" s="157">
        <v>0</v>
      </c>
      <c r="E12" s="157">
        <f>+Y12</f>
        <v>9200</v>
      </c>
      <c r="F12" s="157">
        <f>SUM(C12:E12)</f>
        <v>11950.1</v>
      </c>
      <c r="H12" s="157">
        <f>+FISCAL!F12</f>
        <v>2750.1</v>
      </c>
      <c r="I12" s="169">
        <f>-AB12-AI12</f>
        <v>-45.13</v>
      </c>
      <c r="J12" s="169">
        <f>+H12*0.02</f>
        <v>55.002000000000002</v>
      </c>
      <c r="K12" s="169">
        <f>+H12*7.5%</f>
        <v>206.25749999999999</v>
      </c>
      <c r="L12" s="157">
        <f>SUM(H12:K12)</f>
        <v>2966.2294999999999</v>
      </c>
      <c r="M12" s="169">
        <f>+L12*0.16</f>
        <v>474.59672</v>
      </c>
      <c r="N12" s="169">
        <f>+L12+M12</f>
        <v>3440.8262199999999</v>
      </c>
      <c r="O12" s="143"/>
      <c r="P12" s="157">
        <f>+E12</f>
        <v>9200</v>
      </c>
      <c r="Q12" s="170">
        <f>+P12*0.16</f>
        <v>1472</v>
      </c>
      <c r="R12" s="170">
        <f>+P12+Q12</f>
        <v>10672</v>
      </c>
      <c r="S12" t="str">
        <f>IF(U12=B12,"SI","NO")</f>
        <v>SI</v>
      </c>
      <c r="T12" s="27" t="s">
        <v>35</v>
      </c>
      <c r="U12" s="27" t="s">
        <v>145</v>
      </c>
      <c r="V12" s="29"/>
      <c r="W12" s="30">
        <v>42632</v>
      </c>
      <c r="X12" s="27" t="s">
        <v>146</v>
      </c>
      <c r="Y12" s="91">
        <v>9200</v>
      </c>
      <c r="Z12" s="49"/>
      <c r="AA12" s="32"/>
      <c r="AB12" s="33">
        <v>45.13</v>
      </c>
      <c r="AC12" s="37">
        <f t="shared" ref="AC12:AC53" si="0">SUM(Y12:AA12)-AB12</f>
        <v>9154.8700000000008</v>
      </c>
      <c r="AD12" s="44"/>
      <c r="AE12" s="79"/>
      <c r="AF12" s="34"/>
      <c r="AG12" s="34"/>
      <c r="AH12" s="34"/>
      <c r="AI12" s="35"/>
      <c r="AJ12" s="36">
        <v>0</v>
      </c>
      <c r="AK12" s="37">
        <f t="shared" ref="AK12:AK53" si="1">+AC12-SUM(AD12:AJ12)</f>
        <v>9154.8700000000008</v>
      </c>
      <c r="AL12" s="38"/>
      <c r="AM12" s="37">
        <f t="shared" ref="AM12:AM53" si="2">+AK12-AL12</f>
        <v>9154.8700000000008</v>
      </c>
      <c r="AN12" s="39"/>
      <c r="AO12" s="38"/>
      <c r="AP12" s="37"/>
      <c r="AQ12" s="40"/>
      <c r="AR12" s="41"/>
      <c r="AS12" s="42"/>
      <c r="AT12" s="64" t="s">
        <v>295</v>
      </c>
      <c r="AU12" s="45"/>
    </row>
    <row r="13" spans="1:49">
      <c r="A13" s="145" t="s">
        <v>182</v>
      </c>
      <c r="B13" s="144" t="s">
        <v>183</v>
      </c>
      <c r="C13" s="157">
        <f>+FISCAL!F13</f>
        <v>3250.05</v>
      </c>
      <c r="D13" s="157">
        <v>0</v>
      </c>
      <c r="E13" s="157">
        <f t="shared" ref="E13:E52" si="3">+Y13</f>
        <v>0</v>
      </c>
      <c r="F13" s="157">
        <f t="shared" ref="F13:F52" si="4">SUM(C13:E13)</f>
        <v>3250.05</v>
      </c>
      <c r="H13" s="157">
        <f>+FISCAL!F13</f>
        <v>3250.05</v>
      </c>
      <c r="I13" s="169">
        <f t="shared" ref="I13:I53" si="5">-AB13-AI13</f>
        <v>-45.13</v>
      </c>
      <c r="J13" s="169">
        <f t="shared" ref="J13:J53" si="6">+H13*0.02</f>
        <v>65.001000000000005</v>
      </c>
      <c r="K13" s="169">
        <f t="shared" ref="K13:K53" si="7">+H13*7.5%</f>
        <v>243.75375</v>
      </c>
      <c r="L13" s="157">
        <f t="shared" ref="L13:L53" si="8">SUM(H13:K13)</f>
        <v>3513.6747500000001</v>
      </c>
      <c r="M13" s="169">
        <f t="shared" ref="M13:M53" si="9">+L13*0.16</f>
        <v>562.18796000000009</v>
      </c>
      <c r="N13" s="169">
        <f t="shared" ref="N13:N53" si="10">+L13+M13</f>
        <v>4075.8627100000003</v>
      </c>
      <c r="O13" s="143"/>
      <c r="P13" s="157">
        <f t="shared" ref="P13:P53" si="11">+E13</f>
        <v>0</v>
      </c>
      <c r="Q13" s="170">
        <f t="shared" ref="Q13:Q53" si="12">+P13*0.16</f>
        <v>0</v>
      </c>
      <c r="R13" s="170">
        <f t="shared" ref="R13:R53" si="13">+P13+Q13</f>
        <v>0</v>
      </c>
      <c r="S13" s="143" t="str">
        <f t="shared" ref="S13:S53" si="14">IF(U13=B13,"SI","NO")</f>
        <v>SI</v>
      </c>
      <c r="T13" s="27" t="s">
        <v>42</v>
      </c>
      <c r="U13" s="27" t="s">
        <v>296</v>
      </c>
      <c r="V13" s="29"/>
      <c r="W13" s="30">
        <v>40691</v>
      </c>
      <c r="X13" s="27" t="s">
        <v>49</v>
      </c>
      <c r="Y13" s="91">
        <v>0</v>
      </c>
      <c r="Z13" s="49"/>
      <c r="AA13" s="32"/>
      <c r="AB13" s="33">
        <v>45.13</v>
      </c>
      <c r="AC13" s="37">
        <f t="shared" si="0"/>
        <v>-45.13</v>
      </c>
      <c r="AD13" s="44"/>
      <c r="AE13" s="79"/>
      <c r="AF13" s="34"/>
      <c r="AG13" s="34"/>
      <c r="AH13" s="34"/>
      <c r="AI13" s="35"/>
      <c r="AJ13" s="36">
        <v>0</v>
      </c>
      <c r="AK13" s="37">
        <f t="shared" si="1"/>
        <v>-45.13</v>
      </c>
      <c r="AL13" s="38"/>
      <c r="AM13" s="37">
        <f t="shared" si="2"/>
        <v>-45.13</v>
      </c>
      <c r="AN13" s="39"/>
      <c r="AO13" s="38"/>
      <c r="AP13" s="37"/>
      <c r="AQ13" s="40"/>
      <c r="AR13" s="41"/>
      <c r="AS13" s="42"/>
      <c r="AT13" s="42"/>
      <c r="AU13" s="45"/>
    </row>
    <row r="14" spans="1:49">
      <c r="A14" s="145" t="s">
        <v>184</v>
      </c>
      <c r="B14" s="144" t="s">
        <v>185</v>
      </c>
      <c r="C14" s="157">
        <f>+FISCAL!F14</f>
        <v>2500.0500000000002</v>
      </c>
      <c r="D14" s="157">
        <v>0</v>
      </c>
      <c r="E14" s="157">
        <f t="shared" si="3"/>
        <v>1617</v>
      </c>
      <c r="F14" s="157">
        <f t="shared" si="4"/>
        <v>4117.05</v>
      </c>
      <c r="H14" s="157">
        <f>+FISCAL!F14</f>
        <v>2500.0500000000002</v>
      </c>
      <c r="I14" s="169">
        <f t="shared" si="5"/>
        <v>-45.13</v>
      </c>
      <c r="J14" s="169">
        <f t="shared" si="6"/>
        <v>50.001000000000005</v>
      </c>
      <c r="K14" s="169">
        <f t="shared" si="7"/>
        <v>187.50375</v>
      </c>
      <c r="L14" s="157">
        <f t="shared" si="8"/>
        <v>2692.4247500000001</v>
      </c>
      <c r="M14" s="169">
        <f t="shared" si="9"/>
        <v>430.78796000000006</v>
      </c>
      <c r="N14" s="169">
        <f t="shared" si="10"/>
        <v>3123.2127100000002</v>
      </c>
      <c r="O14" s="143"/>
      <c r="P14" s="157">
        <f t="shared" si="11"/>
        <v>1617</v>
      </c>
      <c r="Q14" s="170">
        <f t="shared" si="12"/>
        <v>258.72000000000003</v>
      </c>
      <c r="R14" s="170">
        <f t="shared" si="13"/>
        <v>1875.72</v>
      </c>
      <c r="S14" s="143" t="str">
        <f t="shared" si="14"/>
        <v>SI</v>
      </c>
      <c r="T14" s="27" t="s">
        <v>32</v>
      </c>
      <c r="U14" s="27" t="s">
        <v>33</v>
      </c>
      <c r="V14" s="29"/>
      <c r="W14" s="50">
        <v>42409</v>
      </c>
      <c r="X14" s="27" t="s">
        <v>34</v>
      </c>
      <c r="Y14" s="91">
        <v>1617</v>
      </c>
      <c r="Z14" s="49"/>
      <c r="AA14" s="32"/>
      <c r="AB14" s="33">
        <v>45.13</v>
      </c>
      <c r="AC14" s="37">
        <f t="shared" si="0"/>
        <v>1571.87</v>
      </c>
      <c r="AD14" s="44"/>
      <c r="AE14" s="80"/>
      <c r="AF14" s="34"/>
      <c r="AG14" s="34"/>
      <c r="AH14" s="34"/>
      <c r="AI14" s="35"/>
      <c r="AJ14" s="36">
        <v>0</v>
      </c>
      <c r="AK14" s="37">
        <f t="shared" si="1"/>
        <v>1571.87</v>
      </c>
      <c r="AL14" s="38">
        <f>IF(AC14&gt;4500,AC14*0.1,0)</f>
        <v>0</v>
      </c>
      <c r="AM14" s="37">
        <f t="shared" si="2"/>
        <v>1571.87</v>
      </c>
      <c r="AN14" s="39">
        <f>IF(AC14&lt;4500,AC14*0.1,0)</f>
        <v>157.18700000000001</v>
      </c>
      <c r="AO14" s="38">
        <f>+'[1]C&amp;A'!W12*0.02</f>
        <v>0</v>
      </c>
      <c r="AP14" s="37">
        <f>+AC14+AN14+AO14</f>
        <v>1729.0569999999998</v>
      </c>
      <c r="AQ14" s="40"/>
      <c r="AR14" s="41"/>
      <c r="AS14" s="42">
        <f>+AQ14+AR14-AM14</f>
        <v>-1571.87</v>
      </c>
      <c r="AT14" s="98"/>
      <c r="AU14" s="45"/>
    </row>
    <row r="15" spans="1:49">
      <c r="A15" s="145" t="s">
        <v>186</v>
      </c>
      <c r="B15" s="144" t="s">
        <v>187</v>
      </c>
      <c r="C15" s="157">
        <f>+FISCAL!F15</f>
        <v>3000</v>
      </c>
      <c r="D15" s="157">
        <v>0</v>
      </c>
      <c r="E15" s="157">
        <f t="shared" si="3"/>
        <v>3160</v>
      </c>
      <c r="F15" s="157">
        <f t="shared" si="4"/>
        <v>6160</v>
      </c>
      <c r="H15" s="157">
        <f>+FISCAL!F15</f>
        <v>3000</v>
      </c>
      <c r="I15" s="169">
        <f t="shared" si="5"/>
        <v>-45.13</v>
      </c>
      <c r="J15" s="169">
        <f t="shared" si="6"/>
        <v>60</v>
      </c>
      <c r="K15" s="169">
        <f t="shared" si="7"/>
        <v>225</v>
      </c>
      <c r="L15" s="157">
        <f t="shared" si="8"/>
        <v>3239.87</v>
      </c>
      <c r="M15" s="169">
        <f t="shared" si="9"/>
        <v>518.37919999999997</v>
      </c>
      <c r="N15" s="169">
        <f t="shared" si="10"/>
        <v>3758.2491999999997</v>
      </c>
      <c r="O15" s="143"/>
      <c r="P15" s="157">
        <f t="shared" si="11"/>
        <v>3160</v>
      </c>
      <c r="Q15" s="170">
        <f t="shared" si="12"/>
        <v>505.6</v>
      </c>
      <c r="R15" s="170">
        <f t="shared" si="13"/>
        <v>3665.6</v>
      </c>
      <c r="S15" s="143" t="str">
        <f t="shared" si="14"/>
        <v>SI</v>
      </c>
      <c r="T15" s="27" t="s">
        <v>35</v>
      </c>
      <c r="U15" s="27" t="s">
        <v>36</v>
      </c>
      <c r="V15" s="29" t="s">
        <v>37</v>
      </c>
      <c r="W15" s="30">
        <v>42072</v>
      </c>
      <c r="X15" s="27" t="s">
        <v>130</v>
      </c>
      <c r="Y15" s="91">
        <v>3160</v>
      </c>
      <c r="Z15" s="32"/>
      <c r="AA15" s="32"/>
      <c r="AB15" s="33">
        <v>45.13</v>
      </c>
      <c r="AC15" s="37">
        <f t="shared" si="0"/>
        <v>3114.87</v>
      </c>
      <c r="AD15" s="44"/>
      <c r="AE15" s="80"/>
      <c r="AF15" s="34"/>
      <c r="AG15" s="34"/>
      <c r="AH15" s="34"/>
      <c r="AI15" s="35"/>
      <c r="AJ15" s="36">
        <v>910</v>
      </c>
      <c r="AK15" s="37">
        <f t="shared" si="1"/>
        <v>2204.87</v>
      </c>
      <c r="AL15" s="38">
        <f>IF(AC15&gt;4500,AC15*0.1,0)</f>
        <v>0</v>
      </c>
      <c r="AM15" s="37">
        <f t="shared" si="2"/>
        <v>2204.87</v>
      </c>
      <c r="AN15" s="39">
        <f>IF(AC15&lt;4500,AC15*0.1,0)</f>
        <v>311.48700000000002</v>
      </c>
      <c r="AO15" s="38">
        <f>+'[1]C&amp;A'!W14*0.02</f>
        <v>0</v>
      </c>
      <c r="AP15" s="37">
        <f>+AC15+AN15+AO15</f>
        <v>3426.357</v>
      </c>
      <c r="AQ15" s="40"/>
      <c r="AR15" s="41"/>
      <c r="AS15" s="42">
        <f>+AQ15+AR15-AM15</f>
        <v>-2204.87</v>
      </c>
      <c r="AT15" s="42"/>
      <c r="AU15" s="45"/>
    </row>
    <row r="16" spans="1:49">
      <c r="A16" s="145" t="s">
        <v>188</v>
      </c>
      <c r="B16" s="144" t="s">
        <v>189</v>
      </c>
      <c r="C16" s="157">
        <f>+FISCAL!F16</f>
        <v>2500.0500000000002</v>
      </c>
      <c r="D16" s="157">
        <v>0</v>
      </c>
      <c r="E16" s="157">
        <f t="shared" si="3"/>
        <v>6913.67</v>
      </c>
      <c r="F16" s="157">
        <f t="shared" si="4"/>
        <v>9413.7200000000012</v>
      </c>
      <c r="H16" s="157">
        <f>+FISCAL!F16</f>
        <v>2500.0500000000002</v>
      </c>
      <c r="I16" s="169">
        <f t="shared" si="5"/>
        <v>-45.13</v>
      </c>
      <c r="J16" s="169">
        <f t="shared" si="6"/>
        <v>50.001000000000005</v>
      </c>
      <c r="K16" s="169">
        <f t="shared" si="7"/>
        <v>187.50375</v>
      </c>
      <c r="L16" s="157">
        <f t="shared" si="8"/>
        <v>2692.4247500000001</v>
      </c>
      <c r="M16" s="169">
        <f t="shared" si="9"/>
        <v>430.78796000000006</v>
      </c>
      <c r="N16" s="169">
        <f t="shared" si="10"/>
        <v>3123.2127100000002</v>
      </c>
      <c r="O16" s="143"/>
      <c r="P16" s="157">
        <f t="shared" si="11"/>
        <v>6913.67</v>
      </c>
      <c r="Q16" s="170">
        <f t="shared" si="12"/>
        <v>1106.1872000000001</v>
      </c>
      <c r="R16" s="170">
        <f t="shared" si="13"/>
        <v>8019.8572000000004</v>
      </c>
      <c r="S16" s="143" t="str">
        <f t="shared" si="14"/>
        <v>SI</v>
      </c>
      <c r="T16" s="27" t="s">
        <v>35</v>
      </c>
      <c r="U16" s="27" t="s">
        <v>39</v>
      </c>
      <c r="V16" s="29" t="s">
        <v>40</v>
      </c>
      <c r="W16" s="30">
        <v>42298</v>
      </c>
      <c r="X16" s="27" t="s">
        <v>41</v>
      </c>
      <c r="Y16" s="91">
        <v>6913.67</v>
      </c>
      <c r="Z16" s="32"/>
      <c r="AA16" s="32"/>
      <c r="AB16" s="33">
        <v>45.13</v>
      </c>
      <c r="AC16" s="37">
        <f t="shared" si="0"/>
        <v>6868.54</v>
      </c>
      <c r="AD16" s="44"/>
      <c r="AE16" s="80"/>
      <c r="AF16" s="34"/>
      <c r="AG16" s="34"/>
      <c r="AH16" s="34"/>
      <c r="AI16" s="35"/>
      <c r="AJ16" s="36">
        <v>0</v>
      </c>
      <c r="AK16" s="37">
        <f t="shared" si="1"/>
        <v>6868.54</v>
      </c>
      <c r="AL16" s="38">
        <f>IF(AC16&gt;4500,AC16*0.1,0)</f>
        <v>686.85400000000004</v>
      </c>
      <c r="AM16" s="37">
        <f t="shared" si="2"/>
        <v>6181.6859999999997</v>
      </c>
      <c r="AN16" s="39">
        <f>IF(AC16&lt;4500,AC16*0.1,0)</f>
        <v>0</v>
      </c>
      <c r="AO16" s="38">
        <f>+'[1]C&amp;A'!W15*0.02</f>
        <v>0</v>
      </c>
      <c r="AP16" s="37">
        <f>+AC16+AN16+AO16</f>
        <v>6868.54</v>
      </c>
      <c r="AQ16" s="40"/>
      <c r="AR16" s="46"/>
      <c r="AS16" s="42">
        <f>+AQ16+AR16-AM16</f>
        <v>-6181.6859999999997</v>
      </c>
      <c r="AT16" s="42"/>
      <c r="AU16" s="45"/>
    </row>
    <row r="17" spans="1:47">
      <c r="A17" s="145" t="s">
        <v>190</v>
      </c>
      <c r="B17" s="144" t="s">
        <v>191</v>
      </c>
      <c r="C17" s="157">
        <f>+FISCAL!F17</f>
        <v>6500.1</v>
      </c>
      <c r="D17" s="157">
        <v>0</v>
      </c>
      <c r="E17" s="157">
        <f t="shared" si="3"/>
        <v>0</v>
      </c>
      <c r="F17" s="157">
        <f t="shared" si="4"/>
        <v>6500.1</v>
      </c>
      <c r="H17" s="157">
        <f>+FISCAL!F17</f>
        <v>6500.1</v>
      </c>
      <c r="I17" s="169">
        <f t="shared" si="5"/>
        <v>-225.13</v>
      </c>
      <c r="J17" s="169">
        <f t="shared" si="6"/>
        <v>130.00200000000001</v>
      </c>
      <c r="K17" s="169">
        <f t="shared" si="7"/>
        <v>487.50749999999999</v>
      </c>
      <c r="L17" s="157">
        <f t="shared" si="8"/>
        <v>6892.4795000000004</v>
      </c>
      <c r="M17" s="169">
        <f t="shared" si="9"/>
        <v>1102.7967200000001</v>
      </c>
      <c r="N17" s="169">
        <f t="shared" si="10"/>
        <v>7995.2762200000006</v>
      </c>
      <c r="O17" s="143"/>
      <c r="P17" s="157">
        <f t="shared" si="11"/>
        <v>0</v>
      </c>
      <c r="Q17" s="170">
        <f t="shared" si="12"/>
        <v>0</v>
      </c>
      <c r="R17" s="170">
        <f t="shared" si="13"/>
        <v>0</v>
      </c>
      <c r="S17" s="143" t="str">
        <f t="shared" si="14"/>
        <v>SI</v>
      </c>
      <c r="T17" s="27" t="s">
        <v>35</v>
      </c>
      <c r="U17" s="95" t="s">
        <v>120</v>
      </c>
      <c r="V17" s="29" t="s">
        <v>121</v>
      </c>
      <c r="W17" s="30">
        <v>41939</v>
      </c>
      <c r="X17" s="27" t="s">
        <v>122</v>
      </c>
      <c r="Y17" s="91">
        <v>0</v>
      </c>
      <c r="Z17" s="32"/>
      <c r="AA17" s="32"/>
      <c r="AB17" s="33">
        <v>45.13</v>
      </c>
      <c r="AC17" s="37">
        <f t="shared" si="0"/>
        <v>-45.13</v>
      </c>
      <c r="AD17" s="44"/>
      <c r="AE17" s="80"/>
      <c r="AF17" s="34"/>
      <c r="AG17" s="34"/>
      <c r="AH17" s="34"/>
      <c r="AI17" s="35">
        <v>180</v>
      </c>
      <c r="AJ17" s="36">
        <v>0</v>
      </c>
      <c r="AK17" s="37">
        <f t="shared" si="1"/>
        <v>-225.13</v>
      </c>
      <c r="AL17" s="38"/>
      <c r="AM17" s="37">
        <f t="shared" si="2"/>
        <v>-225.13</v>
      </c>
      <c r="AN17" s="39"/>
      <c r="AO17" s="38"/>
      <c r="AP17" s="37"/>
      <c r="AQ17" s="40"/>
      <c r="AR17" s="46"/>
      <c r="AS17" s="42"/>
      <c r="AT17" s="42"/>
      <c r="AU17" s="45"/>
    </row>
    <row r="18" spans="1:47">
      <c r="A18" s="145" t="s">
        <v>192</v>
      </c>
      <c r="B18" s="144" t="s">
        <v>193</v>
      </c>
      <c r="C18" s="157">
        <f>+FISCAL!F18</f>
        <v>2800.05</v>
      </c>
      <c r="D18" s="157">
        <v>0</v>
      </c>
      <c r="E18" s="157">
        <f t="shared" si="3"/>
        <v>0</v>
      </c>
      <c r="F18" s="157">
        <f t="shared" si="4"/>
        <v>2800.05</v>
      </c>
      <c r="H18" s="157">
        <f>+FISCAL!F18</f>
        <v>2800.05</v>
      </c>
      <c r="I18" s="169">
        <f t="shared" si="5"/>
        <v>-45.13</v>
      </c>
      <c r="J18" s="169">
        <f t="shared" si="6"/>
        <v>56.001000000000005</v>
      </c>
      <c r="K18" s="169">
        <f t="shared" si="7"/>
        <v>210.00375</v>
      </c>
      <c r="L18" s="157">
        <f t="shared" si="8"/>
        <v>3020.9247500000001</v>
      </c>
      <c r="M18" s="169">
        <f t="shared" si="9"/>
        <v>483.34796000000006</v>
      </c>
      <c r="N18" s="169">
        <f t="shared" si="10"/>
        <v>3504.2727100000002</v>
      </c>
      <c r="O18" s="143"/>
      <c r="P18" s="157">
        <f t="shared" si="11"/>
        <v>0</v>
      </c>
      <c r="Q18" s="170">
        <f t="shared" si="12"/>
        <v>0</v>
      </c>
      <c r="R18" s="170">
        <f t="shared" si="13"/>
        <v>0</v>
      </c>
      <c r="S18" s="143" t="str">
        <f t="shared" si="14"/>
        <v>SI</v>
      </c>
      <c r="T18" s="27" t="s">
        <v>42</v>
      </c>
      <c r="U18" s="27" t="s">
        <v>43</v>
      </c>
      <c r="V18" s="29" t="s">
        <v>44</v>
      </c>
      <c r="W18" s="30">
        <v>41822</v>
      </c>
      <c r="X18" s="27" t="s">
        <v>45</v>
      </c>
      <c r="Y18" s="91">
        <v>0</v>
      </c>
      <c r="Z18" s="32"/>
      <c r="AA18" s="32"/>
      <c r="AB18" s="33">
        <v>45.13</v>
      </c>
      <c r="AC18" s="37">
        <f t="shared" si="0"/>
        <v>-45.13</v>
      </c>
      <c r="AD18" s="44"/>
      <c r="AE18" s="80"/>
      <c r="AF18" s="34"/>
      <c r="AG18" s="34"/>
      <c r="AH18" s="34"/>
      <c r="AI18" s="35"/>
      <c r="AJ18" s="36">
        <v>0</v>
      </c>
      <c r="AK18" s="37">
        <f t="shared" si="1"/>
        <v>-45.13</v>
      </c>
      <c r="AL18" s="38">
        <f>IF(AC18&gt;4500,AC18*0.1,0)</f>
        <v>0</v>
      </c>
      <c r="AM18" s="37">
        <f t="shared" si="2"/>
        <v>-45.13</v>
      </c>
      <c r="AN18" s="39">
        <f>IF(AC18&lt;4500,AC18*0.1,0)</f>
        <v>-4.5130000000000008</v>
      </c>
      <c r="AO18" s="38">
        <f>+'[1]C&amp;A'!W17*0.02</f>
        <v>0</v>
      </c>
      <c r="AP18" s="37">
        <f>+AC18+AN18+AO18</f>
        <v>-49.643000000000001</v>
      </c>
      <c r="AQ18" s="40"/>
      <c r="AR18" s="41"/>
      <c r="AS18" s="42">
        <f>+AQ18+AR18-AM18</f>
        <v>45.13</v>
      </c>
      <c r="AT18" s="42"/>
      <c r="AU18" s="45"/>
    </row>
    <row r="19" spans="1:47">
      <c r="A19" s="145" t="s">
        <v>194</v>
      </c>
      <c r="B19" s="144" t="s">
        <v>195</v>
      </c>
      <c r="C19" s="157">
        <f>+FISCAL!F19</f>
        <v>5868.75</v>
      </c>
      <c r="D19" s="157">
        <v>0</v>
      </c>
      <c r="E19" s="157">
        <f t="shared" si="3"/>
        <v>0</v>
      </c>
      <c r="F19" s="157">
        <f t="shared" si="4"/>
        <v>5868.75</v>
      </c>
      <c r="H19" s="157">
        <f>+FISCAL!F19</f>
        <v>5868.75</v>
      </c>
      <c r="I19" s="169">
        <f t="shared" si="5"/>
        <v>-45.13</v>
      </c>
      <c r="J19" s="169">
        <f t="shared" si="6"/>
        <v>117.375</v>
      </c>
      <c r="K19" s="169">
        <f t="shared" si="7"/>
        <v>440.15625</v>
      </c>
      <c r="L19" s="157">
        <f t="shared" si="8"/>
        <v>6381.1512499999999</v>
      </c>
      <c r="M19" s="169">
        <f t="shared" si="9"/>
        <v>1020.9842</v>
      </c>
      <c r="N19" s="169">
        <f t="shared" si="10"/>
        <v>7402.1354499999998</v>
      </c>
      <c r="O19" s="143"/>
      <c r="P19" s="157">
        <f t="shared" si="11"/>
        <v>0</v>
      </c>
      <c r="Q19" s="170">
        <f t="shared" si="12"/>
        <v>0</v>
      </c>
      <c r="R19" s="170">
        <f t="shared" si="13"/>
        <v>0</v>
      </c>
      <c r="S19" s="143" t="str">
        <f t="shared" si="14"/>
        <v>SI</v>
      </c>
      <c r="T19" s="27" t="s">
        <v>42</v>
      </c>
      <c r="U19" s="27" t="s">
        <v>141</v>
      </c>
      <c r="V19" s="29"/>
      <c r="W19" s="30">
        <v>42611</v>
      </c>
      <c r="X19" s="27" t="s">
        <v>144</v>
      </c>
      <c r="Y19" s="91">
        <v>0</v>
      </c>
      <c r="Z19" s="32"/>
      <c r="AA19" s="32"/>
      <c r="AB19" s="33">
        <v>45.13</v>
      </c>
      <c r="AC19" s="37">
        <f t="shared" si="0"/>
        <v>-45.13</v>
      </c>
      <c r="AD19" s="44"/>
      <c r="AE19" s="80"/>
      <c r="AF19" s="34"/>
      <c r="AG19" s="34"/>
      <c r="AH19" s="34"/>
      <c r="AI19" s="35"/>
      <c r="AJ19" s="36">
        <v>0</v>
      </c>
      <c r="AK19" s="37">
        <f t="shared" si="1"/>
        <v>-45.13</v>
      </c>
      <c r="AL19" s="38">
        <f>IF(AC19&gt;4500,AC19*0.1,0)</f>
        <v>0</v>
      </c>
      <c r="AM19" s="37">
        <f t="shared" si="2"/>
        <v>-45.13</v>
      </c>
      <c r="AN19" s="39"/>
      <c r="AO19" s="38"/>
      <c r="AP19" s="37"/>
      <c r="AQ19" s="40"/>
      <c r="AR19" s="41"/>
      <c r="AS19" s="42"/>
      <c r="AT19" s="42" t="s">
        <v>142</v>
      </c>
      <c r="AU19" s="45"/>
    </row>
    <row r="20" spans="1:47">
      <c r="A20" s="145" t="s">
        <v>196</v>
      </c>
      <c r="B20" s="144" t="s">
        <v>197</v>
      </c>
      <c r="C20" s="157">
        <f>+FISCAL!F20</f>
        <v>2800.05</v>
      </c>
      <c r="D20" s="157">
        <v>0</v>
      </c>
      <c r="E20" s="157">
        <f t="shared" si="3"/>
        <v>0</v>
      </c>
      <c r="F20" s="157">
        <f t="shared" si="4"/>
        <v>2800.05</v>
      </c>
      <c r="H20" s="157">
        <f>+FISCAL!F20</f>
        <v>2800.05</v>
      </c>
      <c r="I20" s="169">
        <f t="shared" si="5"/>
        <v>-45.13</v>
      </c>
      <c r="J20" s="169">
        <f t="shared" si="6"/>
        <v>56.001000000000005</v>
      </c>
      <c r="K20" s="169">
        <f t="shared" si="7"/>
        <v>210.00375</v>
      </c>
      <c r="L20" s="157">
        <f t="shared" si="8"/>
        <v>3020.9247500000001</v>
      </c>
      <c r="M20" s="169">
        <f t="shared" si="9"/>
        <v>483.34796000000006</v>
      </c>
      <c r="N20" s="169">
        <f t="shared" si="10"/>
        <v>3504.2727100000002</v>
      </c>
      <c r="O20" s="143"/>
      <c r="P20" s="157">
        <f t="shared" si="11"/>
        <v>0</v>
      </c>
      <c r="Q20" s="170">
        <f t="shared" si="12"/>
        <v>0</v>
      </c>
      <c r="R20" s="170">
        <f t="shared" si="13"/>
        <v>0</v>
      </c>
      <c r="S20" s="143" t="str">
        <f t="shared" si="14"/>
        <v>SI</v>
      </c>
      <c r="T20" s="27" t="s">
        <v>42</v>
      </c>
      <c r="U20" s="45" t="s">
        <v>46</v>
      </c>
      <c r="V20" s="29" t="s">
        <v>47</v>
      </c>
      <c r="W20" s="30">
        <v>41474</v>
      </c>
      <c r="X20" s="27" t="s">
        <v>45</v>
      </c>
      <c r="Y20" s="91">
        <v>0</v>
      </c>
      <c r="Z20" s="32"/>
      <c r="AA20" s="32"/>
      <c r="AB20" s="33">
        <v>45.13</v>
      </c>
      <c r="AC20" s="37">
        <f t="shared" si="0"/>
        <v>-45.13</v>
      </c>
      <c r="AD20" s="44"/>
      <c r="AE20" s="80"/>
      <c r="AF20" s="34"/>
      <c r="AG20" s="34"/>
      <c r="AH20" s="34"/>
      <c r="AI20" s="35"/>
      <c r="AJ20" s="36">
        <v>0</v>
      </c>
      <c r="AK20" s="37">
        <f t="shared" si="1"/>
        <v>-45.13</v>
      </c>
      <c r="AL20" s="38">
        <f>IF(AC20&gt;4500,AC20*0.1,0)</f>
        <v>0</v>
      </c>
      <c r="AM20" s="37">
        <f t="shared" si="2"/>
        <v>-45.13</v>
      </c>
      <c r="AN20" s="39">
        <f>IF(AC20&lt;4500,AC20*0.1,0)</f>
        <v>-4.5130000000000008</v>
      </c>
      <c r="AO20" s="38">
        <f>+'[1]C&amp;A'!W18*0.02</f>
        <v>0</v>
      </c>
      <c r="AP20" s="37">
        <f>+AC20+AN20+AO20</f>
        <v>-49.643000000000001</v>
      </c>
      <c r="AQ20" s="40"/>
      <c r="AR20" s="41"/>
      <c r="AS20" s="42">
        <f>+AQ20+AR20-AM20</f>
        <v>45.13</v>
      </c>
      <c r="AT20" s="42"/>
      <c r="AU20" s="47"/>
    </row>
    <row r="21" spans="1:47">
      <c r="A21" s="145" t="s">
        <v>198</v>
      </c>
      <c r="B21" s="144" t="s">
        <v>199</v>
      </c>
      <c r="C21" s="157">
        <f>+FISCAL!F21</f>
        <v>10000.049999999999</v>
      </c>
      <c r="D21" s="157">
        <v>0</v>
      </c>
      <c r="E21" s="157">
        <f t="shared" si="3"/>
        <v>28400</v>
      </c>
      <c r="F21" s="157">
        <f t="shared" si="4"/>
        <v>38400.050000000003</v>
      </c>
      <c r="H21" s="157">
        <f>+FISCAL!F21</f>
        <v>10000.049999999999</v>
      </c>
      <c r="I21" s="169">
        <f t="shared" si="5"/>
        <v>-45.13</v>
      </c>
      <c r="J21" s="169">
        <f t="shared" si="6"/>
        <v>200.00099999999998</v>
      </c>
      <c r="K21" s="169">
        <f t="shared" si="7"/>
        <v>750.00374999999997</v>
      </c>
      <c r="L21" s="157">
        <f t="shared" si="8"/>
        <v>10904.92475</v>
      </c>
      <c r="M21" s="169">
        <f t="shared" si="9"/>
        <v>1744.7879600000001</v>
      </c>
      <c r="N21" s="169">
        <f t="shared" si="10"/>
        <v>12649.71271</v>
      </c>
      <c r="O21" s="143"/>
      <c r="P21" s="157">
        <f t="shared" si="11"/>
        <v>28400</v>
      </c>
      <c r="Q21" s="170">
        <f t="shared" si="12"/>
        <v>4544</v>
      </c>
      <c r="R21" s="170">
        <f t="shared" si="13"/>
        <v>32944</v>
      </c>
      <c r="S21" s="143" t="str">
        <f t="shared" si="14"/>
        <v>SI</v>
      </c>
      <c r="T21" s="27" t="s">
        <v>55</v>
      </c>
      <c r="U21" s="45" t="s">
        <v>117</v>
      </c>
      <c r="V21" s="29"/>
      <c r="W21" s="30">
        <v>42583</v>
      </c>
      <c r="X21" s="27" t="s">
        <v>91</v>
      </c>
      <c r="Y21" s="91">
        <v>28400</v>
      </c>
      <c r="Z21" s="32"/>
      <c r="AA21" s="32"/>
      <c r="AB21" s="33">
        <v>45.13</v>
      </c>
      <c r="AC21" s="37">
        <f t="shared" si="0"/>
        <v>28354.87</v>
      </c>
      <c r="AD21" s="44"/>
      <c r="AE21" s="80"/>
      <c r="AF21" s="34"/>
      <c r="AG21" s="34"/>
      <c r="AH21" s="34"/>
      <c r="AI21" s="35"/>
      <c r="AJ21" s="36">
        <v>0</v>
      </c>
      <c r="AK21" s="37">
        <f t="shared" si="1"/>
        <v>28354.87</v>
      </c>
      <c r="AL21" s="38"/>
      <c r="AM21" s="37">
        <f t="shared" si="2"/>
        <v>28354.87</v>
      </c>
      <c r="AN21" s="39"/>
      <c r="AO21" s="38"/>
      <c r="AP21" s="37"/>
      <c r="AQ21" s="40"/>
      <c r="AR21" s="41"/>
      <c r="AS21" s="42"/>
      <c r="AT21" s="42"/>
      <c r="AU21" s="47"/>
    </row>
    <row r="22" spans="1:47">
      <c r="A22" s="145" t="s">
        <v>200</v>
      </c>
      <c r="B22" s="144" t="s">
        <v>201</v>
      </c>
      <c r="C22" s="157">
        <f>+FISCAL!F22</f>
        <v>3250.05</v>
      </c>
      <c r="D22" s="157">
        <v>0</v>
      </c>
      <c r="E22" s="157">
        <f t="shared" si="3"/>
        <v>0</v>
      </c>
      <c r="F22" s="157">
        <f t="shared" si="4"/>
        <v>3250.05</v>
      </c>
      <c r="H22" s="157">
        <f>+FISCAL!F22</f>
        <v>3250.05</v>
      </c>
      <c r="I22" s="169">
        <f t="shared" si="5"/>
        <v>-45.13</v>
      </c>
      <c r="J22" s="169">
        <f t="shared" si="6"/>
        <v>65.001000000000005</v>
      </c>
      <c r="K22" s="169">
        <f t="shared" si="7"/>
        <v>243.75375</v>
      </c>
      <c r="L22" s="157">
        <f t="shared" si="8"/>
        <v>3513.6747500000001</v>
      </c>
      <c r="M22" s="169">
        <f t="shared" si="9"/>
        <v>562.18796000000009</v>
      </c>
      <c r="N22" s="169">
        <f t="shared" si="10"/>
        <v>4075.8627100000003</v>
      </c>
      <c r="O22" s="143"/>
      <c r="P22" s="157">
        <f t="shared" si="11"/>
        <v>0</v>
      </c>
      <c r="Q22" s="170">
        <f t="shared" si="12"/>
        <v>0</v>
      </c>
      <c r="R22" s="170">
        <f t="shared" si="13"/>
        <v>0</v>
      </c>
      <c r="S22" s="143" t="str">
        <f t="shared" si="14"/>
        <v>SI</v>
      </c>
      <c r="T22" s="27" t="s">
        <v>35</v>
      </c>
      <c r="U22" s="45" t="s">
        <v>133</v>
      </c>
      <c r="V22" s="29"/>
      <c r="W22" s="30">
        <v>42608</v>
      </c>
      <c r="X22" s="27" t="s">
        <v>49</v>
      </c>
      <c r="Y22" s="91">
        <v>0</v>
      </c>
      <c r="Z22" s="32"/>
      <c r="AA22" s="32"/>
      <c r="AB22" s="33">
        <v>45.13</v>
      </c>
      <c r="AC22" s="37">
        <f t="shared" si="0"/>
        <v>-45.13</v>
      </c>
      <c r="AD22" s="44"/>
      <c r="AE22" s="80"/>
      <c r="AF22" s="34"/>
      <c r="AG22" s="34"/>
      <c r="AH22" s="34"/>
      <c r="AI22" s="35"/>
      <c r="AJ22" s="36">
        <v>0</v>
      </c>
      <c r="AK22" s="37">
        <f t="shared" si="1"/>
        <v>-45.13</v>
      </c>
      <c r="AL22" s="38"/>
      <c r="AM22" s="37">
        <f t="shared" si="2"/>
        <v>-45.13</v>
      </c>
      <c r="AN22" s="39"/>
      <c r="AO22" s="38"/>
      <c r="AP22" s="37"/>
      <c r="AQ22" s="40"/>
      <c r="AR22" s="41"/>
      <c r="AS22" s="42"/>
      <c r="AT22" s="42"/>
      <c r="AU22" s="47"/>
    </row>
    <row r="23" spans="1:47">
      <c r="A23" s="145" t="s">
        <v>202</v>
      </c>
      <c r="B23" s="144" t="s">
        <v>203</v>
      </c>
      <c r="C23" s="157">
        <f>+FISCAL!F23</f>
        <v>3250.05</v>
      </c>
      <c r="D23" s="157">
        <v>0</v>
      </c>
      <c r="E23" s="157">
        <f t="shared" si="3"/>
        <v>0</v>
      </c>
      <c r="F23" s="157">
        <f t="shared" si="4"/>
        <v>3250.05</v>
      </c>
      <c r="H23" s="157">
        <f>+FISCAL!F23</f>
        <v>3250.05</v>
      </c>
      <c r="I23" s="169">
        <f t="shared" si="5"/>
        <v>-45.13</v>
      </c>
      <c r="J23" s="169">
        <f t="shared" si="6"/>
        <v>65.001000000000005</v>
      </c>
      <c r="K23" s="169">
        <f t="shared" si="7"/>
        <v>243.75375</v>
      </c>
      <c r="L23" s="157">
        <f t="shared" si="8"/>
        <v>3513.6747500000001</v>
      </c>
      <c r="M23" s="169">
        <f t="shared" si="9"/>
        <v>562.18796000000009</v>
      </c>
      <c r="N23" s="169">
        <f t="shared" si="10"/>
        <v>4075.8627100000003</v>
      </c>
      <c r="O23" s="143"/>
      <c r="P23" s="157">
        <f t="shared" si="11"/>
        <v>0</v>
      </c>
      <c r="Q23" s="170">
        <f t="shared" si="12"/>
        <v>0</v>
      </c>
      <c r="R23" s="170">
        <f t="shared" si="13"/>
        <v>0</v>
      </c>
      <c r="S23" s="143" t="str">
        <f t="shared" si="14"/>
        <v>SI</v>
      </c>
      <c r="T23" s="27" t="s">
        <v>35</v>
      </c>
      <c r="U23" s="45" t="s">
        <v>48</v>
      </c>
      <c r="V23" s="29"/>
      <c r="W23" s="30">
        <v>42552</v>
      </c>
      <c r="X23" s="27" t="s">
        <v>49</v>
      </c>
      <c r="Y23" s="91">
        <v>0</v>
      </c>
      <c r="Z23" s="32"/>
      <c r="AA23" s="32"/>
      <c r="AB23" s="33">
        <v>45.13</v>
      </c>
      <c r="AC23" s="37">
        <f t="shared" si="0"/>
        <v>-45.13</v>
      </c>
      <c r="AD23" s="44"/>
      <c r="AE23" s="80"/>
      <c r="AF23" s="34"/>
      <c r="AG23" s="34"/>
      <c r="AH23" s="34"/>
      <c r="AI23" s="35"/>
      <c r="AJ23" s="36">
        <v>1000</v>
      </c>
      <c r="AK23" s="37">
        <f t="shared" si="1"/>
        <v>-1045.1300000000001</v>
      </c>
      <c r="AL23" s="38">
        <f>IF(AC23&gt;4500,AC23*0.1,0)</f>
        <v>0</v>
      </c>
      <c r="AM23" s="37">
        <f t="shared" si="2"/>
        <v>-1045.1300000000001</v>
      </c>
      <c r="AN23" s="39">
        <f>IF(AC23&lt;4500,AC23*0.1,0)</f>
        <v>-4.5130000000000008</v>
      </c>
      <c r="AO23" s="38">
        <f>+'[1]C&amp;A'!W19*0.02</f>
        <v>0</v>
      </c>
      <c r="AP23" s="37">
        <f>+AC23+AN23+AO23</f>
        <v>-49.643000000000001</v>
      </c>
      <c r="AQ23" s="40"/>
      <c r="AR23" s="41"/>
      <c r="AS23" s="42"/>
      <c r="AT23" s="42"/>
      <c r="AU23" s="47"/>
    </row>
    <row r="24" spans="1:47" s="192" customFormat="1">
      <c r="A24" s="188" t="s">
        <v>204</v>
      </c>
      <c r="B24" s="189" t="s">
        <v>205</v>
      </c>
      <c r="C24" s="190">
        <f>+FISCAL!F24</f>
        <v>15000</v>
      </c>
      <c r="D24" s="190">
        <v>0</v>
      </c>
      <c r="E24" s="190">
        <f t="shared" si="3"/>
        <v>78779.83</v>
      </c>
      <c r="F24" s="190">
        <f t="shared" si="4"/>
        <v>93779.83</v>
      </c>
      <c r="G24" s="189"/>
      <c r="H24" s="190">
        <f>+FISCAL!F24</f>
        <v>15000</v>
      </c>
      <c r="I24" s="169">
        <f t="shared" si="5"/>
        <v>-1620.13</v>
      </c>
      <c r="J24" s="191">
        <f t="shared" si="6"/>
        <v>300</v>
      </c>
      <c r="K24" s="191">
        <f t="shared" si="7"/>
        <v>1125</v>
      </c>
      <c r="L24" s="190">
        <f t="shared" si="8"/>
        <v>14804.869999999999</v>
      </c>
      <c r="M24" s="191">
        <f t="shared" si="9"/>
        <v>2368.7791999999999</v>
      </c>
      <c r="N24" s="191">
        <f t="shared" si="10"/>
        <v>17173.6492</v>
      </c>
      <c r="P24" s="190">
        <f t="shared" si="11"/>
        <v>78779.83</v>
      </c>
      <c r="Q24" s="193">
        <f t="shared" si="12"/>
        <v>12604.772800000001</v>
      </c>
      <c r="R24" s="193">
        <f t="shared" si="13"/>
        <v>91384.602800000008</v>
      </c>
      <c r="S24" s="192" t="str">
        <f t="shared" si="14"/>
        <v>SI</v>
      </c>
      <c r="T24" s="194" t="s">
        <v>55</v>
      </c>
      <c r="U24" s="194" t="s">
        <v>119</v>
      </c>
      <c r="V24" s="207"/>
      <c r="W24" s="195">
        <v>38873</v>
      </c>
      <c r="X24" s="208" t="s">
        <v>138</v>
      </c>
      <c r="Y24" s="196">
        <v>78779.83</v>
      </c>
      <c r="Z24" s="197"/>
      <c r="AA24" s="197"/>
      <c r="AB24" s="198">
        <v>45.13</v>
      </c>
      <c r="AC24" s="199">
        <f t="shared" si="0"/>
        <v>78734.7</v>
      </c>
      <c r="AD24" s="197"/>
      <c r="AE24" s="200"/>
      <c r="AF24" s="201"/>
      <c r="AG24" s="201"/>
      <c r="AH24" s="201"/>
      <c r="AI24" s="202">
        <v>1575</v>
      </c>
      <c r="AJ24" s="203">
        <v>770</v>
      </c>
      <c r="AK24" s="199">
        <f t="shared" si="1"/>
        <v>76389.7</v>
      </c>
      <c r="AL24" s="201">
        <f>IF(AC24&gt;4500,AC24*0.1,0)</f>
        <v>7873.47</v>
      </c>
      <c r="AM24" s="199">
        <f t="shared" si="2"/>
        <v>68516.23</v>
      </c>
      <c r="AN24" s="201">
        <f>IF(AC24&lt;4500,AC24*0.1,0)</f>
        <v>0</v>
      </c>
      <c r="AO24" s="201"/>
      <c r="AP24" s="199"/>
      <c r="AQ24" s="204"/>
      <c r="AR24" s="209"/>
      <c r="AS24" s="206"/>
      <c r="AT24" s="206"/>
      <c r="AU24" s="210"/>
    </row>
    <row r="25" spans="1:47">
      <c r="A25" s="145" t="s">
        <v>206</v>
      </c>
      <c r="B25" s="144" t="s">
        <v>207</v>
      </c>
      <c r="C25" s="157">
        <f>+FISCAL!F25</f>
        <v>3250.05</v>
      </c>
      <c r="D25" s="157">
        <v>0</v>
      </c>
      <c r="E25" s="157">
        <f t="shared" si="3"/>
        <v>0</v>
      </c>
      <c r="F25" s="157">
        <f t="shared" si="4"/>
        <v>3250.05</v>
      </c>
      <c r="H25" s="157">
        <f>+FISCAL!F25</f>
        <v>3250.05</v>
      </c>
      <c r="I25" s="169">
        <f t="shared" si="5"/>
        <v>0</v>
      </c>
      <c r="J25" s="169">
        <f t="shared" si="6"/>
        <v>65.001000000000005</v>
      </c>
      <c r="K25" s="169">
        <f t="shared" si="7"/>
        <v>243.75375</v>
      </c>
      <c r="L25" s="157">
        <f t="shared" si="8"/>
        <v>3558.8047500000002</v>
      </c>
      <c r="M25" s="169">
        <f t="shared" si="9"/>
        <v>569.40876000000003</v>
      </c>
      <c r="N25" s="169">
        <f t="shared" si="10"/>
        <v>4128.2135100000005</v>
      </c>
      <c r="O25" s="143"/>
      <c r="P25" s="157">
        <f t="shared" si="11"/>
        <v>0</v>
      </c>
      <c r="Q25" s="170">
        <f t="shared" si="12"/>
        <v>0</v>
      </c>
      <c r="R25" s="170">
        <f t="shared" si="13"/>
        <v>0</v>
      </c>
      <c r="S25" s="143" t="str">
        <f t="shared" si="14"/>
        <v>SI</v>
      </c>
      <c r="T25" s="27" t="s">
        <v>42</v>
      </c>
      <c r="U25" s="95" t="s">
        <v>139</v>
      </c>
      <c r="V25" s="29"/>
      <c r="W25" s="30"/>
      <c r="X25" s="97" t="s">
        <v>140</v>
      </c>
      <c r="Y25" s="91">
        <v>0</v>
      </c>
      <c r="Z25" s="32"/>
      <c r="AA25" s="32"/>
      <c r="AB25" s="33"/>
      <c r="AC25" s="37">
        <f t="shared" si="0"/>
        <v>0</v>
      </c>
      <c r="AD25" s="44"/>
      <c r="AE25" s="80"/>
      <c r="AF25" s="34"/>
      <c r="AG25" s="34"/>
      <c r="AH25" s="34"/>
      <c r="AI25" s="35"/>
      <c r="AJ25" s="36">
        <v>1800</v>
      </c>
      <c r="AK25" s="37">
        <f t="shared" si="1"/>
        <v>-1800</v>
      </c>
      <c r="AL25" s="38"/>
      <c r="AM25" s="37">
        <f t="shared" si="2"/>
        <v>-1800</v>
      </c>
      <c r="AN25" s="39"/>
      <c r="AO25" s="38"/>
      <c r="AP25" s="37"/>
      <c r="AQ25" s="40"/>
      <c r="AR25" s="41"/>
      <c r="AS25" s="42"/>
      <c r="AT25" s="42"/>
      <c r="AU25" s="47"/>
    </row>
    <row r="26" spans="1:47">
      <c r="A26" s="145" t="s">
        <v>208</v>
      </c>
      <c r="B26" s="144" t="s">
        <v>209</v>
      </c>
      <c r="C26" s="157">
        <f>+FISCAL!F26</f>
        <v>2500.0500000000002</v>
      </c>
      <c r="D26" s="157">
        <v>0</v>
      </c>
      <c r="E26" s="157">
        <f t="shared" si="3"/>
        <v>8313.76</v>
      </c>
      <c r="F26" s="157">
        <f t="shared" si="4"/>
        <v>10813.810000000001</v>
      </c>
      <c r="H26" s="157">
        <f>+FISCAL!F26</f>
        <v>2500.0500000000002</v>
      </c>
      <c r="I26" s="169">
        <f t="shared" si="5"/>
        <v>-45.13</v>
      </c>
      <c r="J26" s="169">
        <f t="shared" si="6"/>
        <v>50.001000000000005</v>
      </c>
      <c r="K26" s="169">
        <f t="shared" si="7"/>
        <v>187.50375</v>
      </c>
      <c r="L26" s="157">
        <f t="shared" si="8"/>
        <v>2692.4247500000001</v>
      </c>
      <c r="M26" s="169">
        <f t="shared" si="9"/>
        <v>430.78796000000006</v>
      </c>
      <c r="N26" s="169">
        <f t="shared" si="10"/>
        <v>3123.2127100000002</v>
      </c>
      <c r="O26" s="143"/>
      <c r="P26" s="157">
        <f t="shared" si="11"/>
        <v>8313.76</v>
      </c>
      <c r="Q26" s="170">
        <f t="shared" si="12"/>
        <v>1330.2016000000001</v>
      </c>
      <c r="R26" s="170">
        <f t="shared" si="13"/>
        <v>9643.9616000000005</v>
      </c>
      <c r="S26" s="143" t="str">
        <f t="shared" si="14"/>
        <v>SI</v>
      </c>
      <c r="T26" s="27" t="s">
        <v>42</v>
      </c>
      <c r="U26" s="45" t="s">
        <v>50</v>
      </c>
      <c r="V26" s="29" t="s">
        <v>51</v>
      </c>
      <c r="W26" s="30">
        <v>42298</v>
      </c>
      <c r="X26" s="27" t="s">
        <v>52</v>
      </c>
      <c r="Y26" s="91">
        <v>8313.76</v>
      </c>
      <c r="Z26" s="49"/>
      <c r="AA26" s="32"/>
      <c r="AB26" s="33">
        <v>45.13</v>
      </c>
      <c r="AC26" s="37">
        <f t="shared" si="0"/>
        <v>8268.630000000001</v>
      </c>
      <c r="AD26" s="44"/>
      <c r="AE26" s="80"/>
      <c r="AF26" s="34"/>
      <c r="AG26" s="34"/>
      <c r="AH26" s="34"/>
      <c r="AI26" s="35"/>
      <c r="AJ26" s="36">
        <v>0</v>
      </c>
      <c r="AK26" s="37">
        <f t="shared" si="1"/>
        <v>8268.630000000001</v>
      </c>
      <c r="AL26" s="38">
        <f>IF(AC26&gt;4500,AC26*0.1,0)</f>
        <v>826.86300000000017</v>
      </c>
      <c r="AM26" s="37">
        <f t="shared" si="2"/>
        <v>7441.7670000000007</v>
      </c>
      <c r="AN26" s="39">
        <f>IF(AC26&lt;4500,AC26*0.1,0)</f>
        <v>0</v>
      </c>
      <c r="AO26" s="38">
        <f>+'[1]C&amp;A'!W22*0.02</f>
        <v>0</v>
      </c>
      <c r="AP26" s="37">
        <f>+AC26+AN26+AO26</f>
        <v>8268.630000000001</v>
      </c>
      <c r="AQ26" s="40"/>
      <c r="AR26" s="46"/>
      <c r="AS26" s="42">
        <f>+AQ26+AR26-AM26</f>
        <v>-7441.7670000000007</v>
      </c>
      <c r="AT26" s="42"/>
      <c r="AU26" s="45"/>
    </row>
    <row r="27" spans="1:47">
      <c r="A27" s="145" t="s">
        <v>210</v>
      </c>
      <c r="B27" s="144" t="s">
        <v>211</v>
      </c>
      <c r="C27" s="157">
        <f>+FISCAL!F27</f>
        <v>2500.0500000000002</v>
      </c>
      <c r="D27" s="157">
        <v>0</v>
      </c>
      <c r="E27" s="157">
        <f t="shared" si="3"/>
        <v>13350</v>
      </c>
      <c r="F27" s="157">
        <f t="shared" si="4"/>
        <v>15850.05</v>
      </c>
      <c r="H27" s="157">
        <f>+FISCAL!F27</f>
        <v>2500.0500000000002</v>
      </c>
      <c r="I27" s="169">
        <f t="shared" si="5"/>
        <v>-45.13</v>
      </c>
      <c r="J27" s="169">
        <f t="shared" si="6"/>
        <v>50.001000000000005</v>
      </c>
      <c r="K27" s="169">
        <f t="shared" si="7"/>
        <v>187.50375</v>
      </c>
      <c r="L27" s="157">
        <f t="shared" si="8"/>
        <v>2692.4247500000001</v>
      </c>
      <c r="M27" s="169">
        <f t="shared" si="9"/>
        <v>430.78796000000006</v>
      </c>
      <c r="N27" s="169">
        <f t="shared" si="10"/>
        <v>3123.2127100000002</v>
      </c>
      <c r="O27" s="143"/>
      <c r="P27" s="157">
        <f t="shared" si="11"/>
        <v>13350</v>
      </c>
      <c r="Q27" s="170">
        <f t="shared" si="12"/>
        <v>2136</v>
      </c>
      <c r="R27" s="170">
        <f t="shared" si="13"/>
        <v>15486</v>
      </c>
      <c r="S27" s="143" t="str">
        <f t="shared" si="14"/>
        <v>SI</v>
      </c>
      <c r="T27" s="27" t="s">
        <v>32</v>
      </c>
      <c r="U27" s="27" t="s">
        <v>56</v>
      </c>
      <c r="V27" s="29"/>
      <c r="W27" s="30">
        <v>42038</v>
      </c>
      <c r="X27" s="27" t="s">
        <v>57</v>
      </c>
      <c r="Y27" s="91">
        <v>13350</v>
      </c>
      <c r="Z27" s="49"/>
      <c r="AA27" s="32"/>
      <c r="AB27" s="33">
        <v>45.13</v>
      </c>
      <c r="AC27" s="37">
        <f t="shared" si="0"/>
        <v>13304.87</v>
      </c>
      <c r="AD27" s="44"/>
      <c r="AE27" s="80"/>
      <c r="AF27" s="34"/>
      <c r="AG27" s="34"/>
      <c r="AH27" s="34"/>
      <c r="AI27" s="35"/>
      <c r="AJ27" s="36">
        <v>1000</v>
      </c>
      <c r="AK27" s="37">
        <f t="shared" si="1"/>
        <v>12304.87</v>
      </c>
      <c r="AL27" s="38">
        <f>IF(AC27&gt;4500,AC27*0.1,0)</f>
        <v>1330.4870000000001</v>
      </c>
      <c r="AM27" s="37">
        <f t="shared" si="2"/>
        <v>10974.383000000002</v>
      </c>
      <c r="AN27" s="39">
        <f>IF(AC27&lt;4500,AC27*0.1,0)</f>
        <v>0</v>
      </c>
      <c r="AO27" s="38">
        <f>+'[1]C&amp;A'!W24*0.02</f>
        <v>0</v>
      </c>
      <c r="AP27" s="37">
        <f>+AC27+AN27+AO27</f>
        <v>13304.87</v>
      </c>
      <c r="AQ27" s="40"/>
      <c r="AR27" s="46"/>
      <c r="AS27" s="42">
        <f>+AQ27+AR27-AM27</f>
        <v>-10974.383000000002</v>
      </c>
      <c r="AT27" s="42"/>
      <c r="AU27" s="45"/>
    </row>
    <row r="28" spans="1:47" s="192" customFormat="1">
      <c r="A28" s="188" t="s">
        <v>212</v>
      </c>
      <c r="B28" s="189" t="s">
        <v>213</v>
      </c>
      <c r="C28" s="190">
        <f>+FISCAL!F28</f>
        <v>20000.099999999999</v>
      </c>
      <c r="D28" s="190">
        <v>0</v>
      </c>
      <c r="E28" s="190">
        <f t="shared" si="3"/>
        <v>107525.48</v>
      </c>
      <c r="F28" s="190">
        <f t="shared" si="4"/>
        <v>127525.57999999999</v>
      </c>
      <c r="G28" s="189"/>
      <c r="H28" s="190">
        <f>+FISCAL!F28</f>
        <v>20000.099999999999</v>
      </c>
      <c r="I28" s="169">
        <f t="shared" si="5"/>
        <v>-45.13</v>
      </c>
      <c r="J28" s="191">
        <f t="shared" si="6"/>
        <v>400.00199999999995</v>
      </c>
      <c r="K28" s="191">
        <f t="shared" si="7"/>
        <v>1500.0074999999999</v>
      </c>
      <c r="L28" s="190">
        <f t="shared" si="8"/>
        <v>21854.979499999998</v>
      </c>
      <c r="M28" s="191">
        <f t="shared" si="9"/>
        <v>3496.7967199999998</v>
      </c>
      <c r="N28" s="191">
        <f t="shared" si="10"/>
        <v>25351.776219999996</v>
      </c>
      <c r="P28" s="190">
        <f t="shared" si="11"/>
        <v>107525.48</v>
      </c>
      <c r="Q28" s="193">
        <f t="shared" si="12"/>
        <v>17204.076799999999</v>
      </c>
      <c r="R28" s="193">
        <f t="shared" si="13"/>
        <v>124729.55679999999</v>
      </c>
      <c r="S28" s="192" t="str">
        <f t="shared" si="14"/>
        <v>SI</v>
      </c>
      <c r="T28" s="194" t="s">
        <v>55</v>
      </c>
      <c r="U28" s="194" t="s">
        <v>297</v>
      </c>
      <c r="V28" s="194" t="s">
        <v>58</v>
      </c>
      <c r="W28" s="195">
        <v>41582</v>
      </c>
      <c r="X28" s="194" t="s">
        <v>59</v>
      </c>
      <c r="Y28" s="196">
        <v>107525.48</v>
      </c>
      <c r="Z28" s="197"/>
      <c r="AA28" s="197"/>
      <c r="AB28" s="198">
        <v>45.13</v>
      </c>
      <c r="AC28" s="199">
        <f t="shared" si="0"/>
        <v>107480.34999999999</v>
      </c>
      <c r="AD28" s="197"/>
      <c r="AE28" s="200"/>
      <c r="AF28" s="201"/>
      <c r="AG28" s="201"/>
      <c r="AH28" s="201"/>
      <c r="AI28" s="202"/>
      <c r="AJ28" s="203">
        <v>0</v>
      </c>
      <c r="AK28" s="199">
        <f t="shared" si="1"/>
        <v>107480.34999999999</v>
      </c>
      <c r="AL28" s="201">
        <f>IF(AC28&gt;4500,AC28*0.1,0)</f>
        <v>10748.035</v>
      </c>
      <c r="AM28" s="199">
        <f t="shared" si="2"/>
        <v>96732.314999999988</v>
      </c>
      <c r="AN28" s="201">
        <f>IF(AC28&lt;4500,AC28*0.1,0)</f>
        <v>0</v>
      </c>
      <c r="AO28" s="201">
        <f>+'[1]C&amp;A'!W25*0.02</f>
        <v>0</v>
      </c>
      <c r="AP28" s="199">
        <f>+AC28+AN28+AO28</f>
        <v>107480.34999999999</v>
      </c>
      <c r="AQ28" s="204"/>
      <c r="AR28" s="205"/>
      <c r="AS28" s="206">
        <f>+AQ28+AR28-AM28</f>
        <v>-96732.314999999988</v>
      </c>
      <c r="AT28" s="206"/>
      <c r="AU28" s="194"/>
    </row>
    <row r="29" spans="1:47">
      <c r="A29" s="145" t="s">
        <v>214</v>
      </c>
      <c r="B29" s="144" t="s">
        <v>215</v>
      </c>
      <c r="C29" s="157">
        <f>+FISCAL!F29</f>
        <v>2500.0500000000002</v>
      </c>
      <c r="D29" s="157">
        <v>0</v>
      </c>
      <c r="E29" s="157">
        <f t="shared" si="3"/>
        <v>4214</v>
      </c>
      <c r="F29" s="157">
        <f t="shared" si="4"/>
        <v>6714.05</v>
      </c>
      <c r="H29" s="157">
        <f>+FISCAL!F29</f>
        <v>2500.0500000000002</v>
      </c>
      <c r="I29" s="169">
        <f t="shared" si="5"/>
        <v>-45.13</v>
      </c>
      <c r="J29" s="169">
        <f t="shared" si="6"/>
        <v>50.001000000000005</v>
      </c>
      <c r="K29" s="169">
        <f t="shared" si="7"/>
        <v>187.50375</v>
      </c>
      <c r="L29" s="157">
        <f t="shared" si="8"/>
        <v>2692.4247500000001</v>
      </c>
      <c r="M29" s="169">
        <f t="shared" si="9"/>
        <v>430.78796000000006</v>
      </c>
      <c r="N29" s="169">
        <f t="shared" si="10"/>
        <v>3123.2127100000002</v>
      </c>
      <c r="O29" s="143"/>
      <c r="P29" s="157">
        <f t="shared" si="11"/>
        <v>4214</v>
      </c>
      <c r="Q29" s="170">
        <f t="shared" si="12"/>
        <v>674.24</v>
      </c>
      <c r="R29" s="170">
        <f t="shared" si="13"/>
        <v>4888.24</v>
      </c>
      <c r="S29" s="143" t="str">
        <f t="shared" si="14"/>
        <v>SI</v>
      </c>
      <c r="T29" s="27" t="s">
        <v>55</v>
      </c>
      <c r="U29" s="45" t="s">
        <v>61</v>
      </c>
      <c r="V29" s="29" t="s">
        <v>62</v>
      </c>
      <c r="W29" s="30">
        <v>42380</v>
      </c>
      <c r="X29" s="27" t="s">
        <v>63</v>
      </c>
      <c r="Y29" s="91">
        <v>4214</v>
      </c>
      <c r="Z29" s="32"/>
      <c r="AA29" s="32"/>
      <c r="AB29" s="33">
        <v>45.13</v>
      </c>
      <c r="AC29" s="37">
        <f t="shared" si="0"/>
        <v>4168.87</v>
      </c>
      <c r="AD29" s="44"/>
      <c r="AE29" s="80"/>
      <c r="AF29" s="34"/>
      <c r="AG29" s="34"/>
      <c r="AH29" s="34"/>
      <c r="AI29" s="35"/>
      <c r="AJ29" s="36">
        <v>0</v>
      </c>
      <c r="AK29" s="37">
        <f t="shared" si="1"/>
        <v>4168.87</v>
      </c>
      <c r="AL29" s="38">
        <f>IF(AC29&gt;4500,AC29*0.1,0)</f>
        <v>0</v>
      </c>
      <c r="AM29" s="37">
        <f t="shared" si="2"/>
        <v>4168.87</v>
      </c>
      <c r="AN29" s="39">
        <f>IF(AC29&lt;4500,AC29*0.1,0)</f>
        <v>416.887</v>
      </c>
      <c r="AO29" s="38">
        <f>+'[1]C&amp;A'!W27*0.02</f>
        <v>0</v>
      </c>
      <c r="AP29" s="37">
        <f>+AC29+AN29+AO29</f>
        <v>4585.7569999999996</v>
      </c>
      <c r="AQ29" s="40"/>
      <c r="AR29" s="46"/>
      <c r="AS29" s="42">
        <f>+AQ29+AR29-AM29</f>
        <v>-4168.87</v>
      </c>
      <c r="AT29" s="42"/>
      <c r="AU29" s="45"/>
    </row>
    <row r="30" spans="1:47">
      <c r="A30" s="145" t="s">
        <v>216</v>
      </c>
      <c r="B30" s="144" t="s">
        <v>217</v>
      </c>
      <c r="C30" s="157">
        <f>+FISCAL!F30</f>
        <v>10000.049999999999</v>
      </c>
      <c r="D30" s="157">
        <v>0</v>
      </c>
      <c r="E30" s="157">
        <f t="shared" si="3"/>
        <v>15000</v>
      </c>
      <c r="F30" s="157">
        <f t="shared" si="4"/>
        <v>25000.05</v>
      </c>
      <c r="H30" s="157">
        <f>+FISCAL!F30</f>
        <v>10000.049999999999</v>
      </c>
      <c r="I30" s="169">
        <f t="shared" si="5"/>
        <v>-45.13</v>
      </c>
      <c r="J30" s="169">
        <f t="shared" si="6"/>
        <v>200.00099999999998</v>
      </c>
      <c r="K30" s="169">
        <f t="shared" si="7"/>
        <v>750.00374999999997</v>
      </c>
      <c r="L30" s="157">
        <f t="shared" si="8"/>
        <v>10904.92475</v>
      </c>
      <c r="M30" s="169">
        <f t="shared" si="9"/>
        <v>1744.7879600000001</v>
      </c>
      <c r="N30" s="169">
        <f t="shared" si="10"/>
        <v>12649.71271</v>
      </c>
      <c r="O30" s="143"/>
      <c r="P30" s="157">
        <f t="shared" si="11"/>
        <v>15000</v>
      </c>
      <c r="Q30" s="170">
        <f t="shared" si="12"/>
        <v>2400</v>
      </c>
      <c r="R30" s="170">
        <f t="shared" si="13"/>
        <v>17400</v>
      </c>
      <c r="S30" s="143" t="str">
        <f t="shared" si="14"/>
        <v>SI</v>
      </c>
      <c r="T30" s="27" t="s">
        <v>35</v>
      </c>
      <c r="U30" s="95" t="s">
        <v>123</v>
      </c>
      <c r="V30" s="29">
        <v>3</v>
      </c>
      <c r="W30" s="30">
        <v>39465</v>
      </c>
      <c r="X30" s="27" t="s">
        <v>124</v>
      </c>
      <c r="Y30" s="91">
        <v>15000</v>
      </c>
      <c r="Z30" s="32"/>
      <c r="AA30" s="32"/>
      <c r="AB30" s="33">
        <v>45.13</v>
      </c>
      <c r="AC30" s="37">
        <f t="shared" si="0"/>
        <v>14954.87</v>
      </c>
      <c r="AD30" s="44"/>
      <c r="AE30" s="80"/>
      <c r="AF30" s="34"/>
      <c r="AG30" s="34"/>
      <c r="AH30" s="34"/>
      <c r="AI30" s="96"/>
      <c r="AJ30" s="36">
        <v>323.91000000000003</v>
      </c>
      <c r="AK30" s="37">
        <f t="shared" si="1"/>
        <v>14630.960000000001</v>
      </c>
      <c r="AL30" s="38"/>
      <c r="AM30" s="37">
        <f t="shared" si="2"/>
        <v>14630.960000000001</v>
      </c>
      <c r="AN30" s="39"/>
      <c r="AO30" s="38"/>
      <c r="AP30" s="37"/>
      <c r="AQ30" s="40"/>
      <c r="AR30" s="46"/>
      <c r="AS30" s="42"/>
      <c r="AT30" s="42"/>
      <c r="AU30" s="48" t="s">
        <v>154</v>
      </c>
    </row>
    <row r="31" spans="1:47">
      <c r="A31" s="145" t="s">
        <v>218</v>
      </c>
      <c r="B31" s="144" t="s">
        <v>219</v>
      </c>
      <c r="C31" s="157">
        <f>+FISCAL!F31</f>
        <v>7500</v>
      </c>
      <c r="D31" s="157">
        <v>0</v>
      </c>
      <c r="E31" s="157">
        <f t="shared" si="3"/>
        <v>12394.4</v>
      </c>
      <c r="F31" s="157">
        <f t="shared" si="4"/>
        <v>19894.400000000001</v>
      </c>
      <c r="H31" s="157">
        <f>+FISCAL!F31</f>
        <v>7500</v>
      </c>
      <c r="I31" s="169">
        <f t="shared" si="5"/>
        <v>-45.13</v>
      </c>
      <c r="J31" s="169">
        <f t="shared" si="6"/>
        <v>150</v>
      </c>
      <c r="K31" s="169">
        <f t="shared" si="7"/>
        <v>562.5</v>
      </c>
      <c r="L31" s="157">
        <f t="shared" si="8"/>
        <v>8167.37</v>
      </c>
      <c r="M31" s="169">
        <f t="shared" si="9"/>
        <v>1306.7791999999999</v>
      </c>
      <c r="N31" s="169">
        <f t="shared" si="10"/>
        <v>9474.1491999999998</v>
      </c>
      <c r="O31" s="143"/>
      <c r="P31" s="157">
        <f t="shared" si="11"/>
        <v>12394.4</v>
      </c>
      <c r="Q31" s="170">
        <f t="shared" si="12"/>
        <v>1983.104</v>
      </c>
      <c r="R31" s="170">
        <f t="shared" si="13"/>
        <v>14377.503999999999</v>
      </c>
      <c r="S31" s="143" t="str">
        <f t="shared" si="14"/>
        <v>SI</v>
      </c>
      <c r="T31" s="27" t="s">
        <v>35</v>
      </c>
      <c r="U31" s="45" t="s">
        <v>114</v>
      </c>
      <c r="V31" s="29"/>
      <c r="W31" s="30">
        <v>40530</v>
      </c>
      <c r="X31" s="27" t="s">
        <v>83</v>
      </c>
      <c r="Y31" s="91">
        <v>12394.4</v>
      </c>
      <c r="Z31" s="32"/>
      <c r="AA31" s="32"/>
      <c r="AB31" s="33">
        <v>45.13</v>
      </c>
      <c r="AC31" s="37">
        <f t="shared" si="0"/>
        <v>12349.27</v>
      </c>
      <c r="AD31" s="44"/>
      <c r="AE31" s="80"/>
      <c r="AF31" s="34"/>
      <c r="AG31" s="34"/>
      <c r="AH31" s="34"/>
      <c r="AI31" s="35"/>
      <c r="AJ31" s="36">
        <v>1500</v>
      </c>
      <c r="AK31" s="37">
        <f t="shared" si="1"/>
        <v>10849.27</v>
      </c>
      <c r="AL31" s="38">
        <f t="shared" ref="AL31:AL38" si="15">IF(AC31&gt;4500,AC31*0.1,0)</f>
        <v>1234.9270000000001</v>
      </c>
      <c r="AM31" s="37">
        <f t="shared" si="2"/>
        <v>9614.3430000000008</v>
      </c>
      <c r="AN31" s="39">
        <f>IF(AC31&lt;4500,AC31*0.1,0)</f>
        <v>0</v>
      </c>
      <c r="AO31" s="38">
        <f>+'[1]C&amp;A'!W28*0.02</f>
        <v>0</v>
      </c>
      <c r="AP31" s="37">
        <f>+AC31+AN31+AO31</f>
        <v>12349.27</v>
      </c>
      <c r="AQ31" s="40"/>
      <c r="AR31" s="41"/>
      <c r="AS31" s="42"/>
      <c r="AT31" s="42"/>
      <c r="AU31" s="45"/>
    </row>
    <row r="32" spans="1:47">
      <c r="A32" s="145" t="s">
        <v>220</v>
      </c>
      <c r="B32" s="144" t="s">
        <v>221</v>
      </c>
      <c r="C32" s="157">
        <f>+FISCAL!F32</f>
        <v>3750</v>
      </c>
      <c r="D32" s="157">
        <v>0</v>
      </c>
      <c r="E32" s="157">
        <f t="shared" si="3"/>
        <v>0</v>
      </c>
      <c r="F32" s="157">
        <f t="shared" si="4"/>
        <v>3750</v>
      </c>
      <c r="H32" s="157">
        <f>+FISCAL!F32</f>
        <v>3750</v>
      </c>
      <c r="I32" s="169">
        <f t="shared" si="5"/>
        <v>-45.13</v>
      </c>
      <c r="J32" s="169">
        <f t="shared" si="6"/>
        <v>75</v>
      </c>
      <c r="K32" s="169">
        <f t="shared" si="7"/>
        <v>281.25</v>
      </c>
      <c r="L32" s="157">
        <f t="shared" si="8"/>
        <v>4061.12</v>
      </c>
      <c r="M32" s="169">
        <f t="shared" si="9"/>
        <v>649.77919999999995</v>
      </c>
      <c r="N32" s="169">
        <f t="shared" si="10"/>
        <v>4710.8991999999998</v>
      </c>
      <c r="O32" s="143"/>
      <c r="P32" s="157">
        <f t="shared" si="11"/>
        <v>0</v>
      </c>
      <c r="Q32" s="170">
        <f t="shared" si="12"/>
        <v>0</v>
      </c>
      <c r="R32" s="170">
        <f t="shared" si="13"/>
        <v>0</v>
      </c>
      <c r="S32" s="143" t="str">
        <f t="shared" si="14"/>
        <v>SI</v>
      </c>
      <c r="T32" s="27" t="s">
        <v>55</v>
      </c>
      <c r="U32" s="45" t="s">
        <v>64</v>
      </c>
      <c r="V32" s="27" t="s">
        <v>65</v>
      </c>
      <c r="W32" s="30">
        <v>42310</v>
      </c>
      <c r="X32" s="27" t="s">
        <v>66</v>
      </c>
      <c r="Y32" s="91">
        <v>0</v>
      </c>
      <c r="Z32" s="32"/>
      <c r="AA32" s="32"/>
      <c r="AB32" s="33">
        <v>45.13</v>
      </c>
      <c r="AC32" s="37">
        <f t="shared" si="0"/>
        <v>-45.13</v>
      </c>
      <c r="AD32" s="44"/>
      <c r="AE32" s="80"/>
      <c r="AF32" s="34"/>
      <c r="AG32" s="34"/>
      <c r="AH32" s="34"/>
      <c r="AI32" s="35"/>
      <c r="AJ32" s="36">
        <v>0</v>
      </c>
      <c r="AK32" s="37">
        <f t="shared" si="1"/>
        <v>-45.13</v>
      </c>
      <c r="AL32" s="38">
        <f t="shared" si="15"/>
        <v>0</v>
      </c>
      <c r="AM32" s="37">
        <f t="shared" si="2"/>
        <v>-45.13</v>
      </c>
      <c r="AN32" s="39">
        <f>IF(AC32&lt;4500,AC32*0.1,0)</f>
        <v>-4.5130000000000008</v>
      </c>
      <c r="AO32" s="38">
        <f>+'[1]C&amp;A'!W29*0.02</f>
        <v>0</v>
      </c>
      <c r="AP32" s="37">
        <f>+AC32+AN32+AO32</f>
        <v>-49.643000000000001</v>
      </c>
      <c r="AQ32" s="40"/>
      <c r="AR32" s="46"/>
      <c r="AS32" s="42">
        <f>+AQ32+AR32-AM32</f>
        <v>45.13</v>
      </c>
      <c r="AT32" s="42"/>
      <c r="AU32" s="45"/>
    </row>
    <row r="33" spans="1:47">
      <c r="A33" s="145" t="s">
        <v>222</v>
      </c>
      <c r="B33" s="144" t="s">
        <v>223</v>
      </c>
      <c r="C33" s="157">
        <f>+FISCAL!F33</f>
        <v>2500.0500000000002</v>
      </c>
      <c r="D33" s="157">
        <v>0</v>
      </c>
      <c r="E33" s="157">
        <f t="shared" si="3"/>
        <v>1776</v>
      </c>
      <c r="F33" s="157">
        <f t="shared" si="4"/>
        <v>4276.05</v>
      </c>
      <c r="H33" s="157">
        <f>+FISCAL!F33</f>
        <v>2500.0500000000002</v>
      </c>
      <c r="I33" s="169">
        <f t="shared" si="5"/>
        <v>-45.13</v>
      </c>
      <c r="J33" s="169">
        <f t="shared" si="6"/>
        <v>50.001000000000005</v>
      </c>
      <c r="K33" s="169">
        <f t="shared" si="7"/>
        <v>187.50375</v>
      </c>
      <c r="L33" s="157">
        <f t="shared" si="8"/>
        <v>2692.4247500000001</v>
      </c>
      <c r="M33" s="169">
        <f t="shared" si="9"/>
        <v>430.78796000000006</v>
      </c>
      <c r="N33" s="169">
        <f t="shared" si="10"/>
        <v>3123.2127100000002</v>
      </c>
      <c r="O33" s="143"/>
      <c r="P33" s="157">
        <f t="shared" si="11"/>
        <v>1776</v>
      </c>
      <c r="Q33" s="170">
        <f t="shared" si="12"/>
        <v>284.16000000000003</v>
      </c>
      <c r="R33" s="170">
        <f t="shared" si="13"/>
        <v>2060.16</v>
      </c>
      <c r="S33" s="143" t="str">
        <f t="shared" si="14"/>
        <v>SI</v>
      </c>
      <c r="T33" s="27" t="s">
        <v>55</v>
      </c>
      <c r="U33" s="45" t="s">
        <v>298</v>
      </c>
      <c r="V33" s="29" t="s">
        <v>67</v>
      </c>
      <c r="W33" s="30">
        <v>42374</v>
      </c>
      <c r="X33" s="27" t="s">
        <v>68</v>
      </c>
      <c r="Y33" s="91">
        <v>1776</v>
      </c>
      <c r="Z33" s="32"/>
      <c r="AA33" s="32"/>
      <c r="AB33" s="33">
        <v>45.13</v>
      </c>
      <c r="AC33" s="37">
        <f t="shared" si="0"/>
        <v>1730.87</v>
      </c>
      <c r="AD33" s="44"/>
      <c r="AE33" s="80"/>
      <c r="AF33" s="34"/>
      <c r="AG33" s="34"/>
      <c r="AH33" s="34"/>
      <c r="AI33" s="35"/>
      <c r="AJ33" s="36">
        <v>0</v>
      </c>
      <c r="AK33" s="37">
        <f t="shared" si="1"/>
        <v>1730.87</v>
      </c>
      <c r="AL33" s="38">
        <f t="shared" si="15"/>
        <v>0</v>
      </c>
      <c r="AM33" s="37">
        <f t="shared" si="2"/>
        <v>1730.87</v>
      </c>
      <c r="AN33" s="39">
        <f>IF(AC33&lt;4500,AC33*0.1,0)</f>
        <v>173.08699999999999</v>
      </c>
      <c r="AO33" s="38">
        <f>+'[1]C&amp;A'!W30*0.02</f>
        <v>0</v>
      </c>
      <c r="AP33" s="37">
        <f>+AC33+AN33+AO33</f>
        <v>1903.9569999999999</v>
      </c>
      <c r="AQ33" s="40"/>
      <c r="AR33" s="41"/>
      <c r="AS33" s="42">
        <f>+AQ33+AR33-AM33</f>
        <v>-1730.87</v>
      </c>
      <c r="AT33" s="42"/>
      <c r="AU33" s="48"/>
    </row>
    <row r="34" spans="1:47">
      <c r="A34" s="145" t="s">
        <v>224</v>
      </c>
      <c r="B34" s="144" t="s">
        <v>225</v>
      </c>
      <c r="C34" s="157">
        <f>+FISCAL!F34</f>
        <v>1200</v>
      </c>
      <c r="D34" s="157">
        <v>0</v>
      </c>
      <c r="E34" s="157">
        <f t="shared" si="3"/>
        <v>0</v>
      </c>
      <c r="F34" s="157">
        <f t="shared" si="4"/>
        <v>1200</v>
      </c>
      <c r="H34" s="157">
        <f>+FISCAL!F34</f>
        <v>1200</v>
      </c>
      <c r="I34" s="169">
        <f t="shared" si="5"/>
        <v>0</v>
      </c>
      <c r="J34" s="169">
        <f t="shared" si="6"/>
        <v>24</v>
      </c>
      <c r="K34" s="169">
        <f t="shared" si="7"/>
        <v>90</v>
      </c>
      <c r="L34" s="157">
        <f t="shared" si="8"/>
        <v>1314</v>
      </c>
      <c r="M34" s="169">
        <f t="shared" si="9"/>
        <v>210.24</v>
      </c>
      <c r="N34" s="169">
        <f t="shared" si="10"/>
        <v>1524.24</v>
      </c>
      <c r="O34" s="143"/>
      <c r="P34" s="157">
        <f t="shared" si="11"/>
        <v>0</v>
      </c>
      <c r="Q34" s="170">
        <f t="shared" si="12"/>
        <v>0</v>
      </c>
      <c r="R34" s="170">
        <f t="shared" si="13"/>
        <v>0</v>
      </c>
      <c r="S34" s="143" t="str">
        <f t="shared" si="14"/>
        <v>SI</v>
      </c>
      <c r="T34" s="106" t="s">
        <v>55</v>
      </c>
      <c r="U34" s="106" t="s">
        <v>151</v>
      </c>
      <c r="V34" s="107"/>
      <c r="W34" s="108">
        <v>42653</v>
      </c>
      <c r="X34" s="106" t="s">
        <v>152</v>
      </c>
      <c r="Y34" s="109"/>
      <c r="Z34" s="110"/>
      <c r="AA34" s="110"/>
      <c r="AB34" s="33"/>
      <c r="AC34" s="37">
        <f t="shared" si="0"/>
        <v>0</v>
      </c>
      <c r="AD34" s="44"/>
      <c r="AE34" s="80"/>
      <c r="AF34" s="34"/>
      <c r="AG34" s="34"/>
      <c r="AH34" s="34"/>
      <c r="AI34" s="52"/>
      <c r="AJ34" s="52">
        <v>0</v>
      </c>
      <c r="AK34" s="37">
        <f t="shared" si="1"/>
        <v>0</v>
      </c>
      <c r="AL34" s="38">
        <f t="shared" si="15"/>
        <v>0</v>
      </c>
      <c r="AM34" s="37">
        <f t="shared" si="2"/>
        <v>0</v>
      </c>
      <c r="AN34" s="39"/>
      <c r="AO34" s="38"/>
      <c r="AP34" s="37"/>
      <c r="AQ34" s="40"/>
      <c r="AR34" s="46"/>
      <c r="AS34" s="42"/>
      <c r="AT34" s="111">
        <v>1127295456</v>
      </c>
      <c r="AU34" s="112" t="s">
        <v>153</v>
      </c>
    </row>
    <row r="35" spans="1:47">
      <c r="A35" s="145" t="s">
        <v>226</v>
      </c>
      <c r="B35" s="144" t="s">
        <v>227</v>
      </c>
      <c r="C35" s="157">
        <f>+FISCAL!F35</f>
        <v>3000</v>
      </c>
      <c r="D35" s="157">
        <v>0</v>
      </c>
      <c r="E35" s="157">
        <f t="shared" si="3"/>
        <v>1735</v>
      </c>
      <c r="F35" s="157">
        <f t="shared" si="4"/>
        <v>4735</v>
      </c>
      <c r="H35" s="157">
        <f>+FISCAL!F35</f>
        <v>3000</v>
      </c>
      <c r="I35" s="169">
        <f t="shared" si="5"/>
        <v>-45.13</v>
      </c>
      <c r="J35" s="169">
        <f t="shared" si="6"/>
        <v>60</v>
      </c>
      <c r="K35" s="169">
        <f t="shared" si="7"/>
        <v>225</v>
      </c>
      <c r="L35" s="157">
        <f t="shared" si="8"/>
        <v>3239.87</v>
      </c>
      <c r="M35" s="169">
        <f t="shared" si="9"/>
        <v>518.37919999999997</v>
      </c>
      <c r="N35" s="169">
        <f t="shared" si="10"/>
        <v>3758.2491999999997</v>
      </c>
      <c r="O35" s="143"/>
      <c r="P35" s="157">
        <f t="shared" si="11"/>
        <v>1735</v>
      </c>
      <c r="Q35" s="170">
        <f t="shared" si="12"/>
        <v>277.60000000000002</v>
      </c>
      <c r="R35" s="170">
        <f t="shared" si="13"/>
        <v>2012.6</v>
      </c>
      <c r="S35" s="143" t="str">
        <f t="shared" si="14"/>
        <v>SI</v>
      </c>
      <c r="T35" s="45" t="s">
        <v>35</v>
      </c>
      <c r="U35" s="45" t="s">
        <v>72</v>
      </c>
      <c r="V35" s="51"/>
      <c r="W35" s="50">
        <v>42499</v>
      </c>
      <c r="X35" s="45" t="s">
        <v>73</v>
      </c>
      <c r="Y35" s="92">
        <v>1735</v>
      </c>
      <c r="Z35" s="32"/>
      <c r="AA35" s="32"/>
      <c r="AB35" s="33">
        <v>45.13</v>
      </c>
      <c r="AC35" s="37">
        <f t="shared" si="0"/>
        <v>1689.87</v>
      </c>
      <c r="AD35" s="44"/>
      <c r="AE35" s="80"/>
      <c r="AF35" s="34"/>
      <c r="AG35" s="34"/>
      <c r="AH35" s="34"/>
      <c r="AI35" s="35"/>
      <c r="AJ35" s="36">
        <v>0</v>
      </c>
      <c r="AK35" s="37">
        <f t="shared" si="1"/>
        <v>1689.87</v>
      </c>
      <c r="AL35" s="38">
        <f t="shared" si="15"/>
        <v>0</v>
      </c>
      <c r="AM35" s="37">
        <f t="shared" si="2"/>
        <v>1689.87</v>
      </c>
      <c r="AN35" s="39">
        <f>IF(AC35&lt;4500,AC35*0.1,0)</f>
        <v>168.98699999999999</v>
      </c>
      <c r="AO35" s="38">
        <f>+'[1]C&amp;A'!W33*0.02</f>
        <v>0</v>
      </c>
      <c r="AP35" s="37">
        <f>+AC35+AN35+AO35</f>
        <v>1858.857</v>
      </c>
      <c r="AQ35" s="53"/>
      <c r="AR35" s="54"/>
      <c r="AS35" s="42">
        <f>+AQ35+AR35-AM35</f>
        <v>-1689.87</v>
      </c>
      <c r="AT35" s="55"/>
      <c r="AU35" s="48"/>
    </row>
    <row r="36" spans="1:47">
      <c r="A36" s="145" t="s">
        <v>228</v>
      </c>
      <c r="B36" s="144" t="s">
        <v>229</v>
      </c>
      <c r="C36" s="157">
        <f>+FISCAL!F36</f>
        <v>2250</v>
      </c>
      <c r="D36" s="157">
        <v>0</v>
      </c>
      <c r="E36" s="157">
        <f t="shared" si="3"/>
        <v>2145</v>
      </c>
      <c r="F36" s="157">
        <f t="shared" si="4"/>
        <v>4395</v>
      </c>
      <c r="H36" s="157">
        <f>+FISCAL!F36</f>
        <v>2250</v>
      </c>
      <c r="I36" s="169">
        <f t="shared" si="5"/>
        <v>-45.13</v>
      </c>
      <c r="J36" s="169">
        <f t="shared" si="6"/>
        <v>45</v>
      </c>
      <c r="K36" s="169">
        <f t="shared" si="7"/>
        <v>168.75</v>
      </c>
      <c r="L36" s="157">
        <f t="shared" si="8"/>
        <v>2418.62</v>
      </c>
      <c r="M36" s="169">
        <f t="shared" si="9"/>
        <v>386.97919999999999</v>
      </c>
      <c r="N36" s="169">
        <f t="shared" si="10"/>
        <v>2805.5991999999997</v>
      </c>
      <c r="O36" s="143"/>
      <c r="P36" s="157">
        <f t="shared" si="11"/>
        <v>2145</v>
      </c>
      <c r="Q36" s="170">
        <f t="shared" si="12"/>
        <v>343.2</v>
      </c>
      <c r="R36" s="170">
        <f t="shared" si="13"/>
        <v>2488.1999999999998</v>
      </c>
      <c r="S36" s="143" t="str">
        <f t="shared" si="14"/>
        <v>SI</v>
      </c>
      <c r="T36" s="45" t="s">
        <v>42</v>
      </c>
      <c r="U36" s="45" t="s">
        <v>74</v>
      </c>
      <c r="V36" s="51" t="s">
        <v>75</v>
      </c>
      <c r="W36" s="30">
        <v>42086</v>
      </c>
      <c r="X36" s="45" t="s">
        <v>76</v>
      </c>
      <c r="Y36" s="92">
        <v>2145</v>
      </c>
      <c r="Z36" s="32"/>
      <c r="AA36" s="32"/>
      <c r="AB36" s="33">
        <v>45.13</v>
      </c>
      <c r="AC36" s="37">
        <f t="shared" si="0"/>
        <v>2099.87</v>
      </c>
      <c r="AD36" s="44"/>
      <c r="AE36" s="80"/>
      <c r="AF36" s="34"/>
      <c r="AG36" s="34"/>
      <c r="AH36" s="34"/>
      <c r="AI36" s="52"/>
      <c r="AJ36" s="52">
        <v>0</v>
      </c>
      <c r="AK36" s="37">
        <f t="shared" si="1"/>
        <v>2099.87</v>
      </c>
      <c r="AL36" s="38">
        <f t="shared" si="15"/>
        <v>0</v>
      </c>
      <c r="AM36" s="37">
        <f t="shared" si="2"/>
        <v>2099.87</v>
      </c>
      <c r="AN36" s="39">
        <f>IF(AC36&lt;4500,AC36*0.1,0)</f>
        <v>209.98699999999999</v>
      </c>
      <c r="AO36" s="38">
        <f>+'[1]C&amp;A'!W35*0.02</f>
        <v>0</v>
      </c>
      <c r="AP36" s="37">
        <f>+AC36+AN36+AO36</f>
        <v>2309.857</v>
      </c>
      <c r="AQ36" s="40"/>
      <c r="AR36" s="46"/>
      <c r="AS36" s="42">
        <f>+AQ36+AR36-AM36</f>
        <v>-2099.87</v>
      </c>
      <c r="AT36" s="42"/>
      <c r="AU36" s="48" t="s">
        <v>155</v>
      </c>
    </row>
    <row r="37" spans="1:47">
      <c r="A37" s="145" t="s">
        <v>230</v>
      </c>
      <c r="B37" s="144" t="s">
        <v>231</v>
      </c>
      <c r="C37" s="157">
        <f>+FISCAL!F37</f>
        <v>2500.0500000000002</v>
      </c>
      <c r="D37" s="157">
        <v>0</v>
      </c>
      <c r="E37" s="157">
        <f t="shared" si="3"/>
        <v>1776</v>
      </c>
      <c r="F37" s="157">
        <f t="shared" si="4"/>
        <v>4276.05</v>
      </c>
      <c r="H37" s="157">
        <f>+FISCAL!F37</f>
        <v>2500.0500000000002</v>
      </c>
      <c r="I37" s="169">
        <f t="shared" si="5"/>
        <v>-45.13</v>
      </c>
      <c r="J37" s="169">
        <f t="shared" si="6"/>
        <v>50.001000000000005</v>
      </c>
      <c r="K37" s="169">
        <f t="shared" si="7"/>
        <v>187.50375</v>
      </c>
      <c r="L37" s="157">
        <f t="shared" si="8"/>
        <v>2692.4247500000001</v>
      </c>
      <c r="M37" s="169">
        <f t="shared" si="9"/>
        <v>430.78796000000006</v>
      </c>
      <c r="N37" s="169">
        <f t="shared" si="10"/>
        <v>3123.2127100000002</v>
      </c>
      <c r="O37" s="143"/>
      <c r="P37" s="157">
        <f t="shared" si="11"/>
        <v>1776</v>
      </c>
      <c r="Q37" s="170">
        <f t="shared" si="12"/>
        <v>284.16000000000003</v>
      </c>
      <c r="R37" s="170">
        <f t="shared" si="13"/>
        <v>2060.16</v>
      </c>
      <c r="S37" s="143" t="str">
        <f t="shared" si="14"/>
        <v>SI</v>
      </c>
      <c r="T37" s="27" t="s">
        <v>55</v>
      </c>
      <c r="U37" s="45" t="s">
        <v>77</v>
      </c>
      <c r="V37" s="29" t="s">
        <v>78</v>
      </c>
      <c r="W37" s="30">
        <v>41464</v>
      </c>
      <c r="X37" s="27" t="s">
        <v>68</v>
      </c>
      <c r="Y37" s="91">
        <v>1776</v>
      </c>
      <c r="Z37" s="32"/>
      <c r="AA37" s="32"/>
      <c r="AB37" s="33">
        <v>45.13</v>
      </c>
      <c r="AC37" s="37">
        <f t="shared" si="0"/>
        <v>1730.87</v>
      </c>
      <c r="AD37" s="44"/>
      <c r="AE37" s="80"/>
      <c r="AF37" s="34"/>
      <c r="AG37" s="34"/>
      <c r="AH37" s="34"/>
      <c r="AI37" s="35"/>
      <c r="AJ37" s="36">
        <v>313.89999999999998</v>
      </c>
      <c r="AK37" s="37">
        <f t="shared" si="1"/>
        <v>1416.9699999999998</v>
      </c>
      <c r="AL37" s="38">
        <f t="shared" si="15"/>
        <v>0</v>
      </c>
      <c r="AM37" s="37">
        <f t="shared" si="2"/>
        <v>1416.9699999999998</v>
      </c>
      <c r="AN37" s="39">
        <f>IF(AC37&lt;4500,AC37*0.1,0)</f>
        <v>173.08699999999999</v>
      </c>
      <c r="AO37" s="38">
        <f>+'[1]C&amp;A'!W37*0.02</f>
        <v>0</v>
      </c>
      <c r="AP37" s="37">
        <f>+AC37+AN37+AO37</f>
        <v>1903.9569999999999</v>
      </c>
      <c r="AQ37" s="40"/>
      <c r="AR37" s="41"/>
      <c r="AS37" s="42">
        <f>+AQ37+AR37-AM37</f>
        <v>-1416.9699999999998</v>
      </c>
      <c r="AT37" s="42"/>
      <c r="AU37" s="45"/>
    </row>
    <row r="38" spans="1:47">
      <c r="A38" s="145" t="s">
        <v>232</v>
      </c>
      <c r="B38" s="144" t="s">
        <v>233</v>
      </c>
      <c r="C38" s="157">
        <f>+FISCAL!F38</f>
        <v>1750.05</v>
      </c>
      <c r="D38" s="157">
        <v>0</v>
      </c>
      <c r="E38" s="157">
        <f t="shared" si="3"/>
        <v>11503.77</v>
      </c>
      <c r="F38" s="157">
        <f t="shared" si="4"/>
        <v>13253.82</v>
      </c>
      <c r="H38" s="157">
        <f>+FISCAL!F38</f>
        <v>1750.05</v>
      </c>
      <c r="I38" s="169">
        <f t="shared" si="5"/>
        <v>-45.13</v>
      </c>
      <c r="J38" s="169">
        <f t="shared" si="6"/>
        <v>35.000999999999998</v>
      </c>
      <c r="K38" s="169">
        <f t="shared" si="7"/>
        <v>131.25375</v>
      </c>
      <c r="L38" s="157">
        <f t="shared" si="8"/>
        <v>1871.1747499999999</v>
      </c>
      <c r="M38" s="169">
        <f t="shared" si="9"/>
        <v>299.38795999999996</v>
      </c>
      <c r="N38" s="169">
        <f t="shared" si="10"/>
        <v>2170.5627099999997</v>
      </c>
      <c r="O38" s="143"/>
      <c r="P38" s="157">
        <f t="shared" si="11"/>
        <v>11503.77</v>
      </c>
      <c r="Q38" s="170">
        <f t="shared" si="12"/>
        <v>1840.6032</v>
      </c>
      <c r="R38" s="170">
        <f t="shared" si="13"/>
        <v>13344.3732</v>
      </c>
      <c r="S38" s="143" t="str">
        <f t="shared" si="14"/>
        <v>SI</v>
      </c>
      <c r="T38" s="27" t="s">
        <v>55</v>
      </c>
      <c r="U38" s="27" t="s">
        <v>79</v>
      </c>
      <c r="V38" s="29">
        <v>56</v>
      </c>
      <c r="W38" s="30">
        <v>40033</v>
      </c>
      <c r="X38" s="27" t="s">
        <v>80</v>
      </c>
      <c r="Y38" s="91">
        <v>11503.77</v>
      </c>
      <c r="Z38" s="32"/>
      <c r="AA38" s="32"/>
      <c r="AB38" s="33">
        <v>45.13</v>
      </c>
      <c r="AC38" s="37">
        <f t="shared" si="0"/>
        <v>11458.640000000001</v>
      </c>
      <c r="AD38" s="44"/>
      <c r="AE38" s="80"/>
      <c r="AF38" s="34"/>
      <c r="AG38" s="34"/>
      <c r="AH38" s="34"/>
      <c r="AI38" s="35"/>
      <c r="AJ38" s="36">
        <v>0</v>
      </c>
      <c r="AK38" s="37">
        <f t="shared" si="1"/>
        <v>11458.640000000001</v>
      </c>
      <c r="AL38" s="38">
        <f t="shared" si="15"/>
        <v>1145.8640000000003</v>
      </c>
      <c r="AM38" s="37">
        <f t="shared" si="2"/>
        <v>10312.776000000002</v>
      </c>
      <c r="AN38" s="39">
        <f>IF(AC38&lt;4500,AC38*0.1,0)</f>
        <v>0</v>
      </c>
      <c r="AO38" s="38">
        <f>+'[1]C&amp;A'!W38*0.02</f>
        <v>0</v>
      </c>
      <c r="AP38" s="37">
        <f>+AC38+AN38+AO38</f>
        <v>11458.640000000001</v>
      </c>
      <c r="AQ38" s="40"/>
      <c r="AR38" s="41"/>
      <c r="AS38" s="42">
        <f>+AQ38+AR38-AM38</f>
        <v>-10312.776000000002</v>
      </c>
      <c r="AT38" s="42"/>
      <c r="AU38" s="45"/>
    </row>
    <row r="39" spans="1:47">
      <c r="A39" s="145" t="s">
        <v>234</v>
      </c>
      <c r="B39" s="144" t="s">
        <v>235</v>
      </c>
      <c r="C39" s="157">
        <f>+FISCAL!F39</f>
        <v>3000</v>
      </c>
      <c r="D39" s="157">
        <v>0</v>
      </c>
      <c r="E39" s="157">
        <f t="shared" si="3"/>
        <v>0</v>
      </c>
      <c r="F39" s="157">
        <f t="shared" si="4"/>
        <v>3000</v>
      </c>
      <c r="H39" s="157">
        <f>+FISCAL!F39</f>
        <v>3000</v>
      </c>
      <c r="I39" s="169">
        <f t="shared" si="5"/>
        <v>-45.13</v>
      </c>
      <c r="J39" s="169">
        <f t="shared" si="6"/>
        <v>60</v>
      </c>
      <c r="K39" s="169">
        <f t="shared" si="7"/>
        <v>225</v>
      </c>
      <c r="L39" s="157">
        <f t="shared" si="8"/>
        <v>3239.87</v>
      </c>
      <c r="M39" s="169">
        <f t="shared" si="9"/>
        <v>518.37919999999997</v>
      </c>
      <c r="N39" s="169">
        <f t="shared" si="10"/>
        <v>3758.2491999999997</v>
      </c>
      <c r="O39" s="143"/>
      <c r="P39" s="157">
        <f t="shared" si="11"/>
        <v>0</v>
      </c>
      <c r="Q39" s="170">
        <f t="shared" si="12"/>
        <v>0</v>
      </c>
      <c r="R39" s="170">
        <f t="shared" si="13"/>
        <v>0</v>
      </c>
      <c r="S39" s="143" t="str">
        <f t="shared" si="14"/>
        <v>SI</v>
      </c>
      <c r="T39" s="27" t="s">
        <v>55</v>
      </c>
      <c r="U39" s="27" t="s">
        <v>118</v>
      </c>
      <c r="V39" s="29"/>
      <c r="W39" s="30">
        <v>42591</v>
      </c>
      <c r="X39" s="27" t="s">
        <v>38</v>
      </c>
      <c r="Y39" s="91">
        <v>0</v>
      </c>
      <c r="Z39" s="32"/>
      <c r="AA39" s="32"/>
      <c r="AB39" s="33">
        <v>45.13</v>
      </c>
      <c r="AC39" s="37">
        <f t="shared" si="0"/>
        <v>-45.13</v>
      </c>
      <c r="AD39" s="44"/>
      <c r="AE39" s="80"/>
      <c r="AF39" s="34"/>
      <c r="AG39" s="34"/>
      <c r="AH39" s="34"/>
      <c r="AI39" s="35"/>
      <c r="AJ39" s="36">
        <v>0</v>
      </c>
      <c r="AK39" s="37">
        <f t="shared" si="1"/>
        <v>-45.13</v>
      </c>
      <c r="AL39" s="38"/>
      <c r="AM39" s="37">
        <f t="shared" si="2"/>
        <v>-45.13</v>
      </c>
      <c r="AN39" s="39"/>
      <c r="AO39" s="38"/>
      <c r="AP39" s="37"/>
      <c r="AQ39" s="40"/>
      <c r="AR39" s="41"/>
      <c r="AS39" s="42"/>
      <c r="AT39" s="42"/>
      <c r="AU39" s="45"/>
    </row>
    <row r="40" spans="1:47">
      <c r="A40" s="145" t="s">
        <v>236</v>
      </c>
      <c r="B40" s="144" t="s">
        <v>237</v>
      </c>
      <c r="C40" s="157">
        <f>+FISCAL!F40</f>
        <v>2750.1</v>
      </c>
      <c r="D40" s="157">
        <v>0</v>
      </c>
      <c r="E40" s="157">
        <f t="shared" si="3"/>
        <v>4582.74</v>
      </c>
      <c r="F40" s="157">
        <f t="shared" si="4"/>
        <v>7332.84</v>
      </c>
      <c r="H40" s="157">
        <f>+FISCAL!F40</f>
        <v>2750.1</v>
      </c>
      <c r="I40" s="169">
        <f t="shared" si="5"/>
        <v>-45.13</v>
      </c>
      <c r="J40" s="169">
        <f t="shared" si="6"/>
        <v>55.002000000000002</v>
      </c>
      <c r="K40" s="169">
        <f t="shared" si="7"/>
        <v>206.25749999999999</v>
      </c>
      <c r="L40" s="157">
        <f t="shared" si="8"/>
        <v>2966.2294999999999</v>
      </c>
      <c r="M40" s="169">
        <f t="shared" si="9"/>
        <v>474.59672</v>
      </c>
      <c r="N40" s="169">
        <f t="shared" si="10"/>
        <v>3440.8262199999999</v>
      </c>
      <c r="O40" s="143"/>
      <c r="P40" s="157">
        <f t="shared" si="11"/>
        <v>4582.74</v>
      </c>
      <c r="Q40" s="170">
        <f t="shared" si="12"/>
        <v>733.23839999999996</v>
      </c>
      <c r="R40" s="170">
        <f t="shared" si="13"/>
        <v>5315.9784</v>
      </c>
      <c r="S40" s="143" t="str">
        <f t="shared" si="14"/>
        <v>SI</v>
      </c>
      <c r="T40" s="27" t="s">
        <v>42</v>
      </c>
      <c r="U40" s="45" t="s">
        <v>81</v>
      </c>
      <c r="V40" s="29" t="s">
        <v>82</v>
      </c>
      <c r="W40" s="30">
        <v>42275</v>
      </c>
      <c r="X40" s="27" t="s">
        <v>83</v>
      </c>
      <c r="Y40" s="91">
        <v>4582.74</v>
      </c>
      <c r="Z40" s="32"/>
      <c r="AA40" s="32"/>
      <c r="AB40" s="33">
        <v>45.13</v>
      </c>
      <c r="AC40" s="37">
        <f t="shared" si="0"/>
        <v>4537.6099999999997</v>
      </c>
      <c r="AD40" s="44"/>
      <c r="AE40" s="80"/>
      <c r="AF40" s="34"/>
      <c r="AG40" s="34"/>
      <c r="AH40" s="34"/>
      <c r="AI40" s="35"/>
      <c r="AJ40" s="36">
        <v>0</v>
      </c>
      <c r="AK40" s="37">
        <f t="shared" si="1"/>
        <v>4537.6099999999997</v>
      </c>
      <c r="AL40" s="38">
        <f t="shared" ref="AL40:AL46" si="16">IF(AC40&gt;4500,AC40*0.1,0)</f>
        <v>453.76099999999997</v>
      </c>
      <c r="AM40" s="37">
        <f t="shared" si="2"/>
        <v>4083.8489999999997</v>
      </c>
      <c r="AN40" s="39">
        <f t="shared" ref="AN40:AN46" si="17">IF(AC40&lt;4500,AC40*0.1,0)</f>
        <v>0</v>
      </c>
      <c r="AO40" s="38">
        <f>+'[1]C&amp;A'!W39*0.02</f>
        <v>0</v>
      </c>
      <c r="AP40" s="37">
        <f>+AC40+AN40+AO40</f>
        <v>4537.6099999999997</v>
      </c>
      <c r="AQ40" s="40"/>
      <c r="AR40" s="46"/>
      <c r="AS40" s="42">
        <f>+AQ40+AR40-AM40</f>
        <v>-4083.8489999999997</v>
      </c>
      <c r="AT40" s="42"/>
      <c r="AU40" s="57"/>
    </row>
    <row r="41" spans="1:47">
      <c r="A41" s="145" t="s">
        <v>238</v>
      </c>
      <c r="B41" s="144" t="s">
        <v>239</v>
      </c>
      <c r="C41" s="157">
        <f>+FISCAL!F41</f>
        <v>3750</v>
      </c>
      <c r="D41" s="157">
        <v>0</v>
      </c>
      <c r="E41" s="157">
        <f t="shared" si="3"/>
        <v>20447.07</v>
      </c>
      <c r="F41" s="157">
        <f t="shared" si="4"/>
        <v>24197.07</v>
      </c>
      <c r="H41" s="157">
        <f>+FISCAL!F41</f>
        <v>3750</v>
      </c>
      <c r="I41" s="169">
        <f t="shared" si="5"/>
        <v>-45.13</v>
      </c>
      <c r="J41" s="169">
        <f t="shared" si="6"/>
        <v>75</v>
      </c>
      <c r="K41" s="169">
        <f t="shared" si="7"/>
        <v>281.25</v>
      </c>
      <c r="L41" s="157">
        <f t="shared" si="8"/>
        <v>4061.12</v>
      </c>
      <c r="M41" s="169">
        <f t="shared" si="9"/>
        <v>649.77919999999995</v>
      </c>
      <c r="N41" s="169">
        <f t="shared" si="10"/>
        <v>4710.8991999999998</v>
      </c>
      <c r="O41" s="143"/>
      <c r="P41" s="157">
        <f t="shared" si="11"/>
        <v>20447.07</v>
      </c>
      <c r="Q41" s="170">
        <f t="shared" si="12"/>
        <v>3271.5311999999999</v>
      </c>
      <c r="R41" s="170">
        <f t="shared" si="13"/>
        <v>23718.601200000001</v>
      </c>
      <c r="S41" s="143" t="str">
        <f t="shared" si="14"/>
        <v>SI</v>
      </c>
      <c r="T41" s="27" t="s">
        <v>55</v>
      </c>
      <c r="U41" s="27" t="s">
        <v>84</v>
      </c>
      <c r="V41" s="27">
        <v>23</v>
      </c>
      <c r="W41" s="30">
        <v>39114</v>
      </c>
      <c r="X41" s="27" t="s">
        <v>85</v>
      </c>
      <c r="Y41" s="91">
        <v>20447.07</v>
      </c>
      <c r="Z41" s="32"/>
      <c r="AA41" s="32"/>
      <c r="AB41" s="33">
        <v>45.13</v>
      </c>
      <c r="AC41" s="37">
        <f t="shared" si="0"/>
        <v>20401.939999999999</v>
      </c>
      <c r="AD41" s="44"/>
      <c r="AE41" s="80"/>
      <c r="AF41" s="34"/>
      <c r="AG41" s="34"/>
      <c r="AH41" s="34"/>
      <c r="AI41" s="35"/>
      <c r="AJ41" s="36">
        <v>357.22</v>
      </c>
      <c r="AK41" s="37">
        <f t="shared" si="1"/>
        <v>20044.719999999998</v>
      </c>
      <c r="AL41" s="38">
        <f t="shared" si="16"/>
        <v>2040.194</v>
      </c>
      <c r="AM41" s="37">
        <f t="shared" si="2"/>
        <v>18004.525999999998</v>
      </c>
      <c r="AN41" s="39">
        <f t="shared" si="17"/>
        <v>0</v>
      </c>
      <c r="AO41" s="38">
        <f>+'[1]C&amp;A'!W40*0.02</f>
        <v>0</v>
      </c>
      <c r="AP41" s="37">
        <f>+AC41+AN41+AO41</f>
        <v>20401.939999999999</v>
      </c>
      <c r="AQ41" s="40"/>
      <c r="AR41" s="58"/>
      <c r="AS41" s="42">
        <f>+AQ41+AR41-AM41</f>
        <v>-18004.525999999998</v>
      </c>
      <c r="AT41" s="42"/>
      <c r="AU41" s="45"/>
    </row>
    <row r="42" spans="1:47">
      <c r="A42" s="145" t="s">
        <v>240</v>
      </c>
      <c r="B42" s="144" t="s">
        <v>241</v>
      </c>
      <c r="C42" s="157">
        <f>+FISCAL!F42</f>
        <v>5500.05</v>
      </c>
      <c r="D42" s="157">
        <v>0</v>
      </c>
      <c r="E42" s="157">
        <f t="shared" si="3"/>
        <v>0</v>
      </c>
      <c r="F42" s="157">
        <f t="shared" si="4"/>
        <v>5500.05</v>
      </c>
      <c r="H42" s="157">
        <f>+FISCAL!F42</f>
        <v>5500.05</v>
      </c>
      <c r="I42" s="169">
        <f t="shared" si="5"/>
        <v>-45.13</v>
      </c>
      <c r="J42" s="169">
        <f t="shared" si="6"/>
        <v>110.001</v>
      </c>
      <c r="K42" s="169">
        <f t="shared" si="7"/>
        <v>412.50375000000003</v>
      </c>
      <c r="L42" s="157">
        <f t="shared" si="8"/>
        <v>5977.4247500000001</v>
      </c>
      <c r="M42" s="169">
        <f t="shared" si="9"/>
        <v>956.38796000000002</v>
      </c>
      <c r="N42" s="169">
        <f t="shared" si="10"/>
        <v>6933.8127100000002</v>
      </c>
      <c r="O42" s="143"/>
      <c r="P42" s="157">
        <f t="shared" si="11"/>
        <v>0</v>
      </c>
      <c r="Q42" s="170">
        <f t="shared" si="12"/>
        <v>0</v>
      </c>
      <c r="R42" s="170">
        <f t="shared" si="13"/>
        <v>0</v>
      </c>
      <c r="S42" s="143" t="str">
        <f t="shared" si="14"/>
        <v>SI</v>
      </c>
      <c r="T42" s="45" t="s">
        <v>35</v>
      </c>
      <c r="U42" s="95" t="s">
        <v>299</v>
      </c>
      <c r="V42" s="65" t="s">
        <v>125</v>
      </c>
      <c r="W42" s="30">
        <v>42325</v>
      </c>
      <c r="X42" s="27" t="s">
        <v>126</v>
      </c>
      <c r="Y42" s="92">
        <v>0</v>
      </c>
      <c r="Z42" s="45"/>
      <c r="AA42" s="32"/>
      <c r="AB42" s="33">
        <v>45.13</v>
      </c>
      <c r="AC42" s="37">
        <f t="shared" si="0"/>
        <v>-45.13</v>
      </c>
      <c r="AD42" s="44"/>
      <c r="AE42" s="80"/>
      <c r="AF42" s="34"/>
      <c r="AG42" s="34"/>
      <c r="AH42" s="34"/>
      <c r="AI42" s="52"/>
      <c r="AJ42" s="52">
        <v>0</v>
      </c>
      <c r="AK42" s="37">
        <f t="shared" si="1"/>
        <v>-45.13</v>
      </c>
      <c r="AL42" s="38">
        <f t="shared" si="16"/>
        <v>0</v>
      </c>
      <c r="AM42" s="37">
        <f t="shared" si="2"/>
        <v>-45.13</v>
      </c>
      <c r="AN42" s="39">
        <f t="shared" si="17"/>
        <v>-4.5130000000000008</v>
      </c>
      <c r="AO42" s="38"/>
      <c r="AP42" s="37"/>
      <c r="AQ42" s="40"/>
      <c r="AR42" s="58"/>
      <c r="AS42" s="42"/>
      <c r="AT42" s="42"/>
      <c r="AU42" s="45"/>
    </row>
    <row r="43" spans="1:47">
      <c r="A43" s="145" t="s">
        <v>242</v>
      </c>
      <c r="B43" s="144" t="s">
        <v>243</v>
      </c>
      <c r="C43" s="157">
        <f>+FISCAL!F43</f>
        <v>7500</v>
      </c>
      <c r="D43" s="157">
        <v>0</v>
      </c>
      <c r="E43" s="157">
        <f t="shared" si="3"/>
        <v>30076.21</v>
      </c>
      <c r="F43" s="157">
        <f t="shared" si="4"/>
        <v>37576.21</v>
      </c>
      <c r="H43" s="157">
        <f>+FISCAL!F43</f>
        <v>7500</v>
      </c>
      <c r="I43" s="169">
        <f t="shared" si="5"/>
        <v>-45.13</v>
      </c>
      <c r="J43" s="169">
        <f t="shared" si="6"/>
        <v>150</v>
      </c>
      <c r="K43" s="169">
        <f t="shared" si="7"/>
        <v>562.5</v>
      </c>
      <c r="L43" s="157">
        <f t="shared" si="8"/>
        <v>8167.37</v>
      </c>
      <c r="M43" s="169">
        <f t="shared" si="9"/>
        <v>1306.7791999999999</v>
      </c>
      <c r="N43" s="169">
        <f t="shared" si="10"/>
        <v>9474.1491999999998</v>
      </c>
      <c r="O43" s="143"/>
      <c r="P43" s="157">
        <f t="shared" si="11"/>
        <v>30076.21</v>
      </c>
      <c r="Q43" s="170">
        <f t="shared" si="12"/>
        <v>4812.1935999999996</v>
      </c>
      <c r="R43" s="170">
        <f t="shared" si="13"/>
        <v>34888.403599999998</v>
      </c>
      <c r="S43" s="143" t="str">
        <f t="shared" si="14"/>
        <v>SI</v>
      </c>
      <c r="T43" s="27" t="s">
        <v>89</v>
      </c>
      <c r="U43" s="27" t="s">
        <v>90</v>
      </c>
      <c r="V43" s="29">
        <v>9</v>
      </c>
      <c r="W43" s="30">
        <v>39814</v>
      </c>
      <c r="X43" s="27" t="s">
        <v>89</v>
      </c>
      <c r="Y43" s="91">
        <v>30076.21</v>
      </c>
      <c r="Z43" s="32"/>
      <c r="AA43" s="32"/>
      <c r="AB43" s="33">
        <v>45.13</v>
      </c>
      <c r="AC43" s="37">
        <f t="shared" si="0"/>
        <v>30031.079999999998</v>
      </c>
      <c r="AD43" s="44"/>
      <c r="AE43" s="80"/>
      <c r="AF43" s="34"/>
      <c r="AG43" s="34"/>
      <c r="AH43" s="34"/>
      <c r="AI43" s="35"/>
      <c r="AJ43" s="36">
        <v>1350</v>
      </c>
      <c r="AK43" s="37">
        <f t="shared" si="1"/>
        <v>28681.079999999998</v>
      </c>
      <c r="AL43" s="38">
        <f t="shared" si="16"/>
        <v>3003.1080000000002</v>
      </c>
      <c r="AM43" s="37">
        <f t="shared" si="2"/>
        <v>25677.971999999998</v>
      </c>
      <c r="AN43" s="39">
        <f t="shared" si="17"/>
        <v>0</v>
      </c>
      <c r="AO43" s="38">
        <f>+'[1]C&amp;A'!W44*0.02</f>
        <v>0</v>
      </c>
      <c r="AP43" s="37">
        <f>+AC43+AN43+AO43</f>
        <v>30031.079999999998</v>
      </c>
      <c r="AQ43" s="40"/>
      <c r="AR43" s="46"/>
      <c r="AS43" s="42">
        <f>+AQ43+AR43-AM43</f>
        <v>-25677.971999999998</v>
      </c>
      <c r="AT43" s="42"/>
      <c r="AU43" s="45"/>
    </row>
    <row r="44" spans="1:47">
      <c r="A44" s="145" t="s">
        <v>244</v>
      </c>
      <c r="B44" s="144" t="s">
        <v>245</v>
      </c>
      <c r="C44" s="157">
        <f>+FISCAL!F44</f>
        <v>2800</v>
      </c>
      <c r="D44" s="157">
        <v>0</v>
      </c>
      <c r="E44" s="157">
        <f t="shared" si="3"/>
        <v>1000</v>
      </c>
      <c r="F44" s="157">
        <f t="shared" si="4"/>
        <v>3800</v>
      </c>
      <c r="H44" s="157">
        <f>+FISCAL!F44</f>
        <v>2800</v>
      </c>
      <c r="I44" s="169">
        <f t="shared" si="5"/>
        <v>-45.13</v>
      </c>
      <c r="J44" s="169">
        <f t="shared" si="6"/>
        <v>56</v>
      </c>
      <c r="K44" s="169">
        <f t="shared" si="7"/>
        <v>210</v>
      </c>
      <c r="L44" s="157">
        <f t="shared" si="8"/>
        <v>3020.87</v>
      </c>
      <c r="M44" s="169">
        <f t="shared" si="9"/>
        <v>483.33920000000001</v>
      </c>
      <c r="N44" s="169">
        <f t="shared" si="10"/>
        <v>3504.2091999999998</v>
      </c>
      <c r="O44" s="143"/>
      <c r="P44" s="157">
        <f t="shared" si="11"/>
        <v>1000</v>
      </c>
      <c r="Q44" s="170">
        <f t="shared" si="12"/>
        <v>160</v>
      </c>
      <c r="R44" s="170">
        <f t="shared" si="13"/>
        <v>1160</v>
      </c>
      <c r="S44" s="143" t="str">
        <f t="shared" si="14"/>
        <v>SI</v>
      </c>
      <c r="T44" s="27" t="s">
        <v>42</v>
      </c>
      <c r="U44" s="45" t="s">
        <v>95</v>
      </c>
      <c r="V44" s="29" t="s">
        <v>96</v>
      </c>
      <c r="W44" s="30">
        <v>42222</v>
      </c>
      <c r="X44" s="27" t="s">
        <v>97</v>
      </c>
      <c r="Y44" s="91">
        <v>1000</v>
      </c>
      <c r="Z44" s="32"/>
      <c r="AA44" s="32"/>
      <c r="AB44" s="33">
        <v>45.13</v>
      </c>
      <c r="AC44" s="37">
        <f t="shared" si="0"/>
        <v>954.87</v>
      </c>
      <c r="AD44" s="44"/>
      <c r="AE44" s="80">
        <v>1</v>
      </c>
      <c r="AF44" s="34"/>
      <c r="AG44" s="34"/>
      <c r="AH44" s="34"/>
      <c r="AI44" s="35"/>
      <c r="AJ44" s="36">
        <v>0</v>
      </c>
      <c r="AK44" s="37">
        <f t="shared" si="1"/>
        <v>953.87</v>
      </c>
      <c r="AL44" s="38">
        <f t="shared" si="16"/>
        <v>0</v>
      </c>
      <c r="AM44" s="37">
        <f t="shared" si="2"/>
        <v>953.87</v>
      </c>
      <c r="AN44" s="39">
        <f t="shared" si="17"/>
        <v>95.487000000000009</v>
      </c>
      <c r="AO44" s="38">
        <f>+'[1]C&amp;A'!W52*0.02</f>
        <v>0</v>
      </c>
      <c r="AP44" s="37">
        <f>+AC44+AN44+AO44</f>
        <v>1050.357</v>
      </c>
      <c r="AQ44" s="40"/>
      <c r="AR44" s="46"/>
      <c r="AS44" s="42">
        <f>+AQ44+AR44-AM44</f>
        <v>-953.87</v>
      </c>
      <c r="AT44" s="42"/>
      <c r="AU44" s="45"/>
    </row>
    <row r="45" spans="1:47">
      <c r="A45" s="145" t="s">
        <v>246</v>
      </c>
      <c r="B45" s="144" t="s">
        <v>247</v>
      </c>
      <c r="C45" s="157">
        <f>+FISCAL!F45</f>
        <v>2000.1</v>
      </c>
      <c r="D45" s="157">
        <v>0</v>
      </c>
      <c r="E45" s="157">
        <f t="shared" si="3"/>
        <v>11912.12</v>
      </c>
      <c r="F45" s="157">
        <f t="shared" si="4"/>
        <v>13912.220000000001</v>
      </c>
      <c r="H45" s="157">
        <f>+FISCAL!F45</f>
        <v>2000.1</v>
      </c>
      <c r="I45" s="169">
        <f t="shared" si="5"/>
        <v>-45.13</v>
      </c>
      <c r="J45" s="169">
        <f t="shared" si="6"/>
        <v>40.002000000000002</v>
      </c>
      <c r="K45" s="169">
        <f t="shared" si="7"/>
        <v>150.00749999999999</v>
      </c>
      <c r="L45" s="157">
        <f t="shared" si="8"/>
        <v>2144.9794999999999</v>
      </c>
      <c r="M45" s="169">
        <f t="shared" si="9"/>
        <v>343.19671999999997</v>
      </c>
      <c r="N45" s="169">
        <f t="shared" si="10"/>
        <v>2488.1762199999998</v>
      </c>
      <c r="O45" s="143"/>
      <c r="P45" s="157">
        <f t="shared" si="11"/>
        <v>11912.12</v>
      </c>
      <c r="Q45" s="170">
        <f t="shared" si="12"/>
        <v>1905.9392000000003</v>
      </c>
      <c r="R45" s="170">
        <f t="shared" si="13"/>
        <v>13818.059200000002</v>
      </c>
      <c r="S45" s="143" t="str">
        <f t="shared" si="14"/>
        <v>SI</v>
      </c>
      <c r="T45" s="27" t="s">
        <v>42</v>
      </c>
      <c r="U45" s="27" t="s">
        <v>99</v>
      </c>
      <c r="V45" s="29" t="s">
        <v>100</v>
      </c>
      <c r="W45" s="30">
        <v>41428</v>
      </c>
      <c r="X45" s="27" t="s">
        <v>101</v>
      </c>
      <c r="Y45" s="91">
        <v>11912.12</v>
      </c>
      <c r="Z45" s="32"/>
      <c r="AA45" s="32"/>
      <c r="AB45" s="33">
        <v>45.13</v>
      </c>
      <c r="AC45" s="37">
        <f t="shared" si="0"/>
        <v>11866.990000000002</v>
      </c>
      <c r="AD45" s="44"/>
      <c r="AE45" s="80"/>
      <c r="AF45" s="34"/>
      <c r="AG45" s="34"/>
      <c r="AH45" s="34"/>
      <c r="AI45" s="35"/>
      <c r="AJ45" s="36">
        <v>0</v>
      </c>
      <c r="AK45" s="37">
        <f t="shared" si="1"/>
        <v>11866.990000000002</v>
      </c>
      <c r="AL45" s="38">
        <f t="shared" si="16"/>
        <v>1186.6990000000003</v>
      </c>
      <c r="AM45" s="37">
        <f t="shared" si="2"/>
        <v>10680.291000000001</v>
      </c>
      <c r="AN45" s="39">
        <f t="shared" si="17"/>
        <v>0</v>
      </c>
      <c r="AO45" s="38">
        <f>+'[1]C&amp;A'!W54*0.02</f>
        <v>0</v>
      </c>
      <c r="AP45" s="37">
        <f>+AC45+AN45+AO45</f>
        <v>11866.990000000002</v>
      </c>
      <c r="AQ45" s="40"/>
      <c r="AR45" s="41"/>
      <c r="AS45" s="42">
        <f>+AQ45+AR45-AM45</f>
        <v>-10680.291000000001</v>
      </c>
      <c r="AT45" s="42"/>
      <c r="AU45" s="45"/>
    </row>
    <row r="46" spans="1:47">
      <c r="A46" s="145" t="s">
        <v>248</v>
      </c>
      <c r="B46" s="144" t="s">
        <v>249</v>
      </c>
      <c r="C46" s="157">
        <f>+FISCAL!F46</f>
        <v>6000</v>
      </c>
      <c r="D46" s="157">
        <v>0</v>
      </c>
      <c r="E46" s="157">
        <f t="shared" si="3"/>
        <v>14605.34</v>
      </c>
      <c r="F46" s="157">
        <f t="shared" si="4"/>
        <v>20605.34</v>
      </c>
      <c r="H46" s="157">
        <f>+FISCAL!F46</f>
        <v>6000</v>
      </c>
      <c r="I46" s="169">
        <f t="shared" si="5"/>
        <v>-480.13</v>
      </c>
      <c r="J46" s="169">
        <f t="shared" si="6"/>
        <v>120</v>
      </c>
      <c r="K46" s="169">
        <f t="shared" si="7"/>
        <v>450</v>
      </c>
      <c r="L46" s="157">
        <f t="shared" si="8"/>
        <v>6089.87</v>
      </c>
      <c r="M46" s="169">
        <f t="shared" si="9"/>
        <v>974.37919999999997</v>
      </c>
      <c r="N46" s="169">
        <f t="shared" si="10"/>
        <v>7064.2492000000002</v>
      </c>
      <c r="O46" s="143"/>
      <c r="P46" s="157">
        <f t="shared" si="11"/>
        <v>14605.34</v>
      </c>
      <c r="Q46" s="170">
        <f t="shared" si="12"/>
        <v>2336.8544000000002</v>
      </c>
      <c r="R46" s="170">
        <f t="shared" si="13"/>
        <v>16942.1944</v>
      </c>
      <c r="S46" s="143" t="str">
        <f t="shared" si="14"/>
        <v>SI</v>
      </c>
      <c r="T46" s="27" t="s">
        <v>93</v>
      </c>
      <c r="U46" s="27" t="s">
        <v>102</v>
      </c>
      <c r="V46" s="29">
        <v>8</v>
      </c>
      <c r="W46" s="30">
        <v>39608</v>
      </c>
      <c r="X46" s="27" t="s">
        <v>103</v>
      </c>
      <c r="Y46" s="91">
        <v>14605.34</v>
      </c>
      <c r="Z46" s="32"/>
      <c r="AA46" s="32"/>
      <c r="AB46" s="33">
        <v>45.13</v>
      </c>
      <c r="AC46" s="37">
        <f t="shared" si="0"/>
        <v>14560.210000000001</v>
      </c>
      <c r="AD46" s="44"/>
      <c r="AE46" s="80"/>
      <c r="AF46" s="34"/>
      <c r="AG46" s="34"/>
      <c r="AH46" s="34"/>
      <c r="AI46" s="35">
        <v>435</v>
      </c>
      <c r="AJ46" s="36">
        <v>0</v>
      </c>
      <c r="AK46" s="37">
        <f t="shared" si="1"/>
        <v>14125.210000000001</v>
      </c>
      <c r="AL46" s="38">
        <f t="shared" si="16"/>
        <v>1456.0210000000002</v>
      </c>
      <c r="AM46" s="37">
        <f t="shared" si="2"/>
        <v>12669.189</v>
      </c>
      <c r="AN46" s="39">
        <f t="shared" si="17"/>
        <v>0</v>
      </c>
      <c r="AO46" s="38">
        <f>+'[1]C&amp;A'!W55*0.02</f>
        <v>0</v>
      </c>
      <c r="AP46" s="37">
        <f>+AC46+AN46+AO46</f>
        <v>14560.210000000001</v>
      </c>
      <c r="AQ46" s="40"/>
      <c r="AR46" s="46"/>
      <c r="AS46" s="42">
        <f>+AQ46+AR46-AM46</f>
        <v>-12669.189</v>
      </c>
      <c r="AT46" s="42"/>
      <c r="AU46" s="45"/>
    </row>
    <row r="47" spans="1:47" s="174" customFormat="1">
      <c r="A47" s="212" t="s">
        <v>250</v>
      </c>
      <c r="B47" s="172" t="s">
        <v>251</v>
      </c>
      <c r="C47" s="171">
        <f>+FISCAL!F47</f>
        <v>6250.05</v>
      </c>
      <c r="D47" s="171">
        <v>0</v>
      </c>
      <c r="E47" s="171">
        <f t="shared" si="3"/>
        <v>6250</v>
      </c>
      <c r="F47" s="171">
        <f t="shared" si="4"/>
        <v>12500.05</v>
      </c>
      <c r="G47" s="172"/>
      <c r="H47" s="171">
        <f>+FISCAL!F47</f>
        <v>6250.05</v>
      </c>
      <c r="I47" s="169">
        <f t="shared" si="5"/>
        <v>-45.13</v>
      </c>
      <c r="J47" s="173">
        <f t="shared" si="6"/>
        <v>125.001</v>
      </c>
      <c r="K47" s="173">
        <f t="shared" si="7"/>
        <v>468.75374999999997</v>
      </c>
      <c r="L47" s="171">
        <f t="shared" si="8"/>
        <v>6798.6747500000001</v>
      </c>
      <c r="M47" s="173">
        <f t="shared" si="9"/>
        <v>1087.7879600000001</v>
      </c>
      <c r="N47" s="173">
        <f t="shared" si="10"/>
        <v>7886.4627099999998</v>
      </c>
      <c r="P47" s="171">
        <f t="shared" si="11"/>
        <v>6250</v>
      </c>
      <c r="Q47" s="175">
        <f t="shared" si="12"/>
        <v>1000</v>
      </c>
      <c r="R47" s="175">
        <f t="shared" si="13"/>
        <v>7250</v>
      </c>
      <c r="S47" s="174" t="str">
        <f t="shared" si="14"/>
        <v>SI</v>
      </c>
      <c r="T47" s="45" t="s">
        <v>35</v>
      </c>
      <c r="U47" s="45" t="s">
        <v>127</v>
      </c>
      <c r="V47" s="51" t="s">
        <v>128</v>
      </c>
      <c r="W47" s="50">
        <v>41793</v>
      </c>
      <c r="X47" s="45" t="s">
        <v>129</v>
      </c>
      <c r="Y47" s="92">
        <v>6250</v>
      </c>
      <c r="Z47" s="32"/>
      <c r="AA47" s="32"/>
      <c r="AB47" s="213">
        <v>45.13</v>
      </c>
      <c r="AC47" s="214">
        <f t="shared" si="0"/>
        <v>6204.87</v>
      </c>
      <c r="AD47" s="32"/>
      <c r="AE47" s="215"/>
      <c r="AF47" s="38"/>
      <c r="AG47" s="38"/>
      <c r="AH47" s="38"/>
      <c r="AI47" s="216"/>
      <c r="AJ47" s="52">
        <v>0</v>
      </c>
      <c r="AK47" s="214">
        <f t="shared" si="1"/>
        <v>6204.87</v>
      </c>
      <c r="AL47" s="38"/>
      <c r="AM47" s="214">
        <f t="shared" si="2"/>
        <v>6204.87</v>
      </c>
      <c r="AN47" s="38"/>
      <c r="AO47" s="38"/>
      <c r="AP47" s="214"/>
      <c r="AQ47" s="217"/>
      <c r="AR47" s="218"/>
      <c r="AS47" s="42"/>
      <c r="AT47" s="42"/>
      <c r="AU47" s="48" t="s">
        <v>156</v>
      </c>
    </row>
    <row r="48" spans="1:47">
      <c r="A48" s="145" t="s">
        <v>252</v>
      </c>
      <c r="B48" s="144" t="s">
        <v>253</v>
      </c>
      <c r="C48" s="157">
        <f>+FISCAL!F48</f>
        <v>2250</v>
      </c>
      <c r="D48" s="157">
        <v>0</v>
      </c>
      <c r="E48" s="157">
        <f t="shared" si="3"/>
        <v>865</v>
      </c>
      <c r="F48" s="157">
        <f t="shared" si="4"/>
        <v>3115</v>
      </c>
      <c r="H48" s="157">
        <f>+FISCAL!F48</f>
        <v>2250</v>
      </c>
      <c r="I48" s="169">
        <f t="shared" si="5"/>
        <v>-45.13</v>
      </c>
      <c r="J48" s="169">
        <f t="shared" si="6"/>
        <v>45</v>
      </c>
      <c r="K48" s="169">
        <f t="shared" si="7"/>
        <v>168.75</v>
      </c>
      <c r="L48" s="157">
        <f t="shared" si="8"/>
        <v>2418.62</v>
      </c>
      <c r="M48" s="169">
        <f t="shared" si="9"/>
        <v>386.97919999999999</v>
      </c>
      <c r="N48" s="169">
        <f t="shared" si="10"/>
        <v>2805.5991999999997</v>
      </c>
      <c r="O48" s="143"/>
      <c r="P48" s="157">
        <f t="shared" si="11"/>
        <v>865</v>
      </c>
      <c r="Q48" s="170">
        <f t="shared" si="12"/>
        <v>138.4</v>
      </c>
      <c r="R48" s="170">
        <f t="shared" si="13"/>
        <v>1003.4</v>
      </c>
      <c r="S48" s="143" t="str">
        <f t="shared" si="14"/>
        <v>SI</v>
      </c>
      <c r="T48" s="27" t="s">
        <v>42</v>
      </c>
      <c r="U48" s="27" t="s">
        <v>158</v>
      </c>
      <c r="V48" s="29"/>
      <c r="W48" s="30">
        <v>42626</v>
      </c>
      <c r="X48" s="27" t="s">
        <v>76</v>
      </c>
      <c r="Y48" s="91">
        <v>865</v>
      </c>
      <c r="Z48" s="32"/>
      <c r="AA48" s="32"/>
      <c r="AB48" s="33">
        <v>45.13</v>
      </c>
      <c r="AC48" s="37">
        <f t="shared" si="0"/>
        <v>819.87</v>
      </c>
      <c r="AD48" s="44"/>
      <c r="AE48" s="80"/>
      <c r="AF48" s="34"/>
      <c r="AG48" s="34"/>
      <c r="AH48" s="34"/>
      <c r="AI48" s="35"/>
      <c r="AJ48" s="36">
        <v>0</v>
      </c>
      <c r="AK48" s="37">
        <f t="shared" si="1"/>
        <v>819.87</v>
      </c>
      <c r="AL48" s="38"/>
      <c r="AM48" s="37">
        <f t="shared" si="2"/>
        <v>819.87</v>
      </c>
      <c r="AN48" s="39"/>
      <c r="AO48" s="38"/>
      <c r="AP48" s="37"/>
      <c r="AQ48" s="40"/>
      <c r="AR48" s="46"/>
      <c r="AS48" s="42"/>
      <c r="AT48" s="64">
        <v>1136601197</v>
      </c>
      <c r="AU48" s="48"/>
    </row>
    <row r="49" spans="1:47">
      <c r="A49" s="145" t="s">
        <v>254</v>
      </c>
      <c r="B49" s="144" t="s">
        <v>255</v>
      </c>
      <c r="C49" s="157">
        <f>+FISCAL!F49</f>
        <v>5868.75</v>
      </c>
      <c r="D49" s="157">
        <v>0</v>
      </c>
      <c r="E49" s="157">
        <f t="shared" si="3"/>
        <v>0</v>
      </c>
      <c r="F49" s="157">
        <f t="shared" si="4"/>
        <v>5868.75</v>
      </c>
      <c r="H49" s="157">
        <f>+FISCAL!F49</f>
        <v>5868.75</v>
      </c>
      <c r="I49" s="169">
        <f t="shared" si="5"/>
        <v>-45.13</v>
      </c>
      <c r="J49" s="169">
        <f t="shared" si="6"/>
        <v>117.375</v>
      </c>
      <c r="K49" s="169">
        <f t="shared" si="7"/>
        <v>440.15625</v>
      </c>
      <c r="L49" s="157">
        <f t="shared" si="8"/>
        <v>6381.1512499999999</v>
      </c>
      <c r="M49" s="169">
        <f t="shared" si="9"/>
        <v>1020.9842</v>
      </c>
      <c r="N49" s="169">
        <f t="shared" si="10"/>
        <v>7402.1354499999998</v>
      </c>
      <c r="O49" s="143"/>
      <c r="P49" s="157">
        <f t="shared" si="11"/>
        <v>0</v>
      </c>
      <c r="Q49" s="170">
        <f t="shared" si="12"/>
        <v>0</v>
      </c>
      <c r="R49" s="170">
        <f t="shared" si="13"/>
        <v>0</v>
      </c>
      <c r="S49" s="143" t="str">
        <f t="shared" si="14"/>
        <v>SI</v>
      </c>
      <c r="T49" s="27" t="s">
        <v>55</v>
      </c>
      <c r="U49" s="27" t="s">
        <v>115</v>
      </c>
      <c r="V49" s="29"/>
      <c r="W49" s="30">
        <v>42569</v>
      </c>
      <c r="X49" s="27" t="s">
        <v>116</v>
      </c>
      <c r="Y49" s="91">
        <v>0</v>
      </c>
      <c r="Z49" s="32"/>
      <c r="AA49" s="32"/>
      <c r="AB49" s="33">
        <v>45.13</v>
      </c>
      <c r="AC49" s="37">
        <f t="shared" si="0"/>
        <v>-45.13</v>
      </c>
      <c r="AD49" s="44"/>
      <c r="AE49" s="80"/>
      <c r="AF49" s="34"/>
      <c r="AG49" s="34"/>
      <c r="AH49" s="34"/>
      <c r="AI49" s="35"/>
      <c r="AJ49" s="36">
        <v>0</v>
      </c>
      <c r="AK49" s="37">
        <f t="shared" si="1"/>
        <v>-45.13</v>
      </c>
      <c r="AL49" s="38">
        <f>IF(AC49&gt;4500,AC49*0.1,0)</f>
        <v>0</v>
      </c>
      <c r="AM49" s="37">
        <f t="shared" si="2"/>
        <v>-45.13</v>
      </c>
      <c r="AN49" s="39">
        <f t="shared" ref="AN49:AN54" si="18">IF(AC49&lt;4500,AC49*0.1,0)</f>
        <v>-4.5130000000000008</v>
      </c>
      <c r="AO49" s="38">
        <f>+'[1]C&amp;A'!W58*0.02</f>
        <v>0</v>
      </c>
      <c r="AP49" s="37">
        <f>+AC49+AN49+AO49</f>
        <v>-49.643000000000001</v>
      </c>
      <c r="AQ49" s="40"/>
      <c r="AR49" s="46"/>
      <c r="AS49" s="42"/>
      <c r="AT49" s="42"/>
      <c r="AU49" s="45"/>
    </row>
    <row r="50" spans="1:47">
      <c r="A50" s="145" t="s">
        <v>256</v>
      </c>
      <c r="B50" s="144" t="s">
        <v>257</v>
      </c>
      <c r="C50" s="157">
        <f>+FISCAL!F50</f>
        <v>3750</v>
      </c>
      <c r="D50" s="157">
        <v>0</v>
      </c>
      <c r="E50" s="157">
        <f t="shared" si="3"/>
        <v>11763.56</v>
      </c>
      <c r="F50" s="157">
        <f t="shared" si="4"/>
        <v>15513.56</v>
      </c>
      <c r="H50" s="157">
        <f>+FISCAL!F50</f>
        <v>3750</v>
      </c>
      <c r="I50" s="169">
        <f t="shared" si="5"/>
        <v>-45.13</v>
      </c>
      <c r="J50" s="169">
        <f t="shared" si="6"/>
        <v>75</v>
      </c>
      <c r="K50" s="169">
        <f t="shared" si="7"/>
        <v>281.25</v>
      </c>
      <c r="L50" s="157">
        <f t="shared" si="8"/>
        <v>4061.12</v>
      </c>
      <c r="M50" s="169">
        <f t="shared" si="9"/>
        <v>649.77919999999995</v>
      </c>
      <c r="N50" s="169">
        <f t="shared" si="10"/>
        <v>4710.8991999999998</v>
      </c>
      <c r="O50" s="143"/>
      <c r="P50" s="157">
        <f t="shared" si="11"/>
        <v>11763.56</v>
      </c>
      <c r="Q50" s="170">
        <f t="shared" si="12"/>
        <v>1882.1695999999999</v>
      </c>
      <c r="R50" s="170">
        <f t="shared" si="13"/>
        <v>13645.729599999999</v>
      </c>
      <c r="S50" s="143" t="str">
        <f t="shared" si="14"/>
        <v>SI</v>
      </c>
      <c r="T50" s="27" t="s">
        <v>42</v>
      </c>
      <c r="U50" s="27" t="s">
        <v>104</v>
      </c>
      <c r="V50" s="29">
        <v>18</v>
      </c>
      <c r="W50" s="30">
        <v>38733</v>
      </c>
      <c r="X50" s="27" t="s">
        <v>132</v>
      </c>
      <c r="Y50" s="91">
        <v>11763.56</v>
      </c>
      <c r="Z50" s="32"/>
      <c r="AA50" s="32"/>
      <c r="AB50" s="33">
        <v>45.13</v>
      </c>
      <c r="AC50" s="37">
        <f t="shared" si="0"/>
        <v>11718.43</v>
      </c>
      <c r="AD50" s="44"/>
      <c r="AE50" s="80"/>
      <c r="AF50" s="34"/>
      <c r="AG50" s="34"/>
      <c r="AH50" s="34"/>
      <c r="AI50" s="35"/>
      <c r="AJ50" s="36">
        <v>1000</v>
      </c>
      <c r="AK50" s="37">
        <f t="shared" si="1"/>
        <v>10718.43</v>
      </c>
      <c r="AL50" s="38">
        <f>IF(AC50&gt;4500,AC50*0.1,0)</f>
        <v>1171.8430000000001</v>
      </c>
      <c r="AM50" s="37">
        <f t="shared" si="2"/>
        <v>9546.5869999999995</v>
      </c>
      <c r="AN50" s="39">
        <f t="shared" si="18"/>
        <v>0</v>
      </c>
      <c r="AO50" s="38">
        <f>+'[1]C&amp;A'!W57*0.02</f>
        <v>0</v>
      </c>
      <c r="AP50" s="37">
        <f>+AC50+AN50+AO50</f>
        <v>11718.43</v>
      </c>
      <c r="AQ50" s="40"/>
      <c r="AR50" s="46"/>
      <c r="AS50" s="42">
        <f>+AQ50+AR50-AM50</f>
        <v>-9546.5869999999995</v>
      </c>
      <c r="AT50" s="42"/>
      <c r="AU50" s="45"/>
    </row>
    <row r="51" spans="1:47">
      <c r="A51" s="145" t="s">
        <v>258</v>
      </c>
      <c r="B51" s="144" t="s">
        <v>259</v>
      </c>
      <c r="C51" s="157">
        <f>+FISCAL!F51</f>
        <v>5868.6</v>
      </c>
      <c r="D51" s="157">
        <v>0</v>
      </c>
      <c r="E51" s="157">
        <f t="shared" si="3"/>
        <v>8550.98</v>
      </c>
      <c r="F51" s="157">
        <f t="shared" si="4"/>
        <v>14419.58</v>
      </c>
      <c r="H51" s="157">
        <f>+FISCAL!F51</f>
        <v>5868.6</v>
      </c>
      <c r="I51" s="169">
        <f t="shared" si="5"/>
        <v>-45.13</v>
      </c>
      <c r="J51" s="169">
        <f t="shared" si="6"/>
        <v>117.37200000000001</v>
      </c>
      <c r="K51" s="169">
        <f t="shared" si="7"/>
        <v>440.14500000000004</v>
      </c>
      <c r="L51" s="157">
        <f t="shared" si="8"/>
        <v>6380.987000000001</v>
      </c>
      <c r="M51" s="169">
        <f t="shared" si="9"/>
        <v>1020.9579200000002</v>
      </c>
      <c r="N51" s="169">
        <f t="shared" si="10"/>
        <v>7401.9449200000008</v>
      </c>
      <c r="O51" s="143"/>
      <c r="P51" s="157">
        <f t="shared" si="11"/>
        <v>8550.98</v>
      </c>
      <c r="Q51" s="170">
        <f t="shared" si="12"/>
        <v>1368.1568</v>
      </c>
      <c r="R51" s="170">
        <f t="shared" si="13"/>
        <v>9919.1368000000002</v>
      </c>
      <c r="S51" s="143" t="str">
        <f t="shared" si="14"/>
        <v>SI</v>
      </c>
      <c r="T51" s="27" t="s">
        <v>93</v>
      </c>
      <c r="U51" s="27" t="s">
        <v>137</v>
      </c>
      <c r="V51" s="29"/>
      <c r="W51" s="30">
        <v>42608</v>
      </c>
      <c r="X51" s="27" t="s">
        <v>157</v>
      </c>
      <c r="Y51" s="91">
        <v>8550.98</v>
      </c>
      <c r="Z51" s="32"/>
      <c r="AA51" s="32"/>
      <c r="AB51" s="33">
        <v>45.13</v>
      </c>
      <c r="AC51" s="37">
        <f t="shared" si="0"/>
        <v>8505.85</v>
      </c>
      <c r="AD51" s="44"/>
      <c r="AE51" s="79"/>
      <c r="AF51" s="34"/>
      <c r="AG51" s="34"/>
      <c r="AH51" s="34"/>
      <c r="AI51" s="35"/>
      <c r="AJ51" s="36">
        <v>0</v>
      </c>
      <c r="AK51" s="37">
        <f t="shared" si="1"/>
        <v>8505.85</v>
      </c>
      <c r="AL51" s="38">
        <f>IF(AC51&gt;4500,AC51*0.1,0)</f>
        <v>850.58500000000004</v>
      </c>
      <c r="AM51" s="37">
        <f t="shared" si="2"/>
        <v>7655.2650000000003</v>
      </c>
      <c r="AN51" s="39">
        <f t="shared" si="18"/>
        <v>0</v>
      </c>
      <c r="AO51" s="38"/>
      <c r="AP51" s="37"/>
      <c r="AQ51" s="40"/>
      <c r="AR51" s="46"/>
      <c r="AS51" s="42"/>
      <c r="AT51" s="42"/>
      <c r="AU51" s="45"/>
    </row>
    <row r="52" spans="1:47">
      <c r="A52" s="145" t="s">
        <v>260</v>
      </c>
      <c r="B52" s="144" t="s">
        <v>261</v>
      </c>
      <c r="C52" s="157">
        <f>+FISCAL!F52</f>
        <v>3750</v>
      </c>
      <c r="D52" s="157">
        <v>0</v>
      </c>
      <c r="E52" s="157">
        <f t="shared" si="3"/>
        <v>11893.38</v>
      </c>
      <c r="F52" s="157">
        <f t="shared" si="4"/>
        <v>15643.38</v>
      </c>
      <c r="H52" s="157">
        <f>+FISCAL!F52</f>
        <v>3750</v>
      </c>
      <c r="I52" s="169">
        <f t="shared" si="5"/>
        <v>-45.13</v>
      </c>
      <c r="J52" s="169">
        <f t="shared" si="6"/>
        <v>75</v>
      </c>
      <c r="K52" s="169">
        <f t="shared" si="7"/>
        <v>281.25</v>
      </c>
      <c r="L52" s="157">
        <f t="shared" si="8"/>
        <v>4061.12</v>
      </c>
      <c r="M52" s="169">
        <f t="shared" si="9"/>
        <v>649.77919999999995</v>
      </c>
      <c r="N52" s="169">
        <f t="shared" si="10"/>
        <v>4710.8991999999998</v>
      </c>
      <c r="O52" s="143"/>
      <c r="P52" s="157">
        <f t="shared" si="11"/>
        <v>11893.38</v>
      </c>
      <c r="Q52" s="170">
        <f t="shared" si="12"/>
        <v>1902.9407999999999</v>
      </c>
      <c r="R52" s="170">
        <f t="shared" si="13"/>
        <v>13796.3208</v>
      </c>
      <c r="S52" s="143" t="str">
        <f t="shared" si="14"/>
        <v>SI</v>
      </c>
      <c r="T52" s="27" t="s">
        <v>89</v>
      </c>
      <c r="U52" s="27" t="s">
        <v>105</v>
      </c>
      <c r="V52" s="27" t="s">
        <v>106</v>
      </c>
      <c r="W52" s="30">
        <v>42321</v>
      </c>
      <c r="X52" s="27" t="s">
        <v>89</v>
      </c>
      <c r="Y52" s="91">
        <v>11893.38</v>
      </c>
      <c r="Z52" s="32"/>
      <c r="AA52" s="32"/>
      <c r="AB52" s="33">
        <v>45.13</v>
      </c>
      <c r="AC52" s="37">
        <f t="shared" si="0"/>
        <v>11848.25</v>
      </c>
      <c r="AD52" s="44"/>
      <c r="AE52" s="79"/>
      <c r="AF52" s="34"/>
      <c r="AG52" s="34"/>
      <c r="AH52" s="34"/>
      <c r="AI52" s="35"/>
      <c r="AJ52" s="36">
        <v>500</v>
      </c>
      <c r="AK52" s="37">
        <f t="shared" si="1"/>
        <v>11348.25</v>
      </c>
      <c r="AL52" s="38">
        <f>IF(AC52&gt;4500,AC52*0.1,0)</f>
        <v>1184.825</v>
      </c>
      <c r="AM52" s="37">
        <f t="shared" si="2"/>
        <v>10163.424999999999</v>
      </c>
      <c r="AN52" s="39">
        <f t="shared" si="18"/>
        <v>0</v>
      </c>
      <c r="AO52" s="38">
        <f>+'[1]C&amp;A'!W61*0.02</f>
        <v>0</v>
      </c>
      <c r="AP52" s="37">
        <f>+AC52+AN52+AO52</f>
        <v>11848.25</v>
      </c>
      <c r="AQ52" s="40"/>
      <c r="AR52" s="41"/>
      <c r="AS52" s="42">
        <f>+AQ52+AR52-AM52</f>
        <v>-10163.424999999999</v>
      </c>
      <c r="AT52" s="42"/>
      <c r="AU52" s="45"/>
    </row>
    <row r="53" spans="1:47">
      <c r="A53" s="145" t="s">
        <v>262</v>
      </c>
      <c r="B53" s="144" t="s">
        <v>263</v>
      </c>
      <c r="C53" s="157">
        <f>+FISCAL!F53</f>
        <v>3250.05</v>
      </c>
      <c r="D53" s="157">
        <v>0</v>
      </c>
      <c r="E53" s="157">
        <f>+Y53</f>
        <v>0</v>
      </c>
      <c r="F53" s="157">
        <f>SUM(C53:E53)</f>
        <v>3250.05</v>
      </c>
      <c r="H53" s="157">
        <f>+FISCAL!F53</f>
        <v>3250.05</v>
      </c>
      <c r="I53" s="169">
        <f t="shared" si="5"/>
        <v>-45.13</v>
      </c>
      <c r="J53" s="169">
        <f t="shared" si="6"/>
        <v>65.001000000000005</v>
      </c>
      <c r="K53" s="169">
        <f t="shared" si="7"/>
        <v>243.75375</v>
      </c>
      <c r="L53" s="157">
        <f t="shared" si="8"/>
        <v>3513.6747500000001</v>
      </c>
      <c r="M53" s="169">
        <f t="shared" si="9"/>
        <v>562.18796000000009</v>
      </c>
      <c r="N53" s="169">
        <f t="shared" si="10"/>
        <v>4075.8627100000003</v>
      </c>
      <c r="P53" s="157">
        <f t="shared" si="11"/>
        <v>0</v>
      </c>
      <c r="Q53" s="170">
        <f t="shared" si="12"/>
        <v>0</v>
      </c>
      <c r="R53" s="170">
        <f t="shared" si="13"/>
        <v>0</v>
      </c>
      <c r="S53" s="143" t="str">
        <f t="shared" si="14"/>
        <v>SI</v>
      </c>
      <c r="T53" s="27" t="s">
        <v>35</v>
      </c>
      <c r="U53" s="45" t="s">
        <v>107</v>
      </c>
      <c r="V53" s="27"/>
      <c r="W53" s="30">
        <v>42169</v>
      </c>
      <c r="X53" s="27" t="s">
        <v>38</v>
      </c>
      <c r="Y53" s="91">
        <v>0</v>
      </c>
      <c r="Z53" s="32"/>
      <c r="AA53" s="32"/>
      <c r="AB53" s="33">
        <v>45.13</v>
      </c>
      <c r="AC53" s="37">
        <f t="shared" si="0"/>
        <v>-45.13</v>
      </c>
      <c r="AD53" s="44"/>
      <c r="AE53" s="79"/>
      <c r="AF53" s="34"/>
      <c r="AG53" s="34"/>
      <c r="AH53" s="34"/>
      <c r="AI53" s="35"/>
      <c r="AJ53" s="36">
        <v>0</v>
      </c>
      <c r="AK53" s="37">
        <f t="shared" si="1"/>
        <v>-45.13</v>
      </c>
      <c r="AL53" s="38">
        <f>IF(AC53&gt;4500,AC53*0.1,0)</f>
        <v>0</v>
      </c>
      <c r="AM53" s="37">
        <f t="shared" si="2"/>
        <v>-45.13</v>
      </c>
      <c r="AN53" s="39">
        <f t="shared" si="18"/>
        <v>-4.5130000000000008</v>
      </c>
      <c r="AO53" s="38">
        <f>+'[1]C&amp;A'!W62*0.02</f>
        <v>0</v>
      </c>
      <c r="AP53" s="37">
        <f>+AC53+AN53+AO53</f>
        <v>-49.643000000000001</v>
      </c>
      <c r="AQ53" s="40"/>
      <c r="AR53" s="41"/>
      <c r="AS53" s="42">
        <f>+AQ53+AR53-AM53</f>
        <v>45.13</v>
      </c>
      <c r="AT53" s="64"/>
      <c r="AU53" s="45"/>
    </row>
    <row r="54" spans="1:47">
      <c r="A54" s="160" t="s">
        <v>264</v>
      </c>
      <c r="B54" s="152"/>
      <c r="C54" s="152" t="s">
        <v>265</v>
      </c>
      <c r="D54" s="152" t="s">
        <v>265</v>
      </c>
      <c r="E54" s="152" t="s">
        <v>265</v>
      </c>
      <c r="F54" s="152" t="s">
        <v>265</v>
      </c>
      <c r="G54" s="152"/>
      <c r="H54" s="152" t="s">
        <v>265</v>
      </c>
      <c r="I54" s="152" t="s">
        <v>265</v>
      </c>
      <c r="J54" s="152" t="s">
        <v>265</v>
      </c>
      <c r="K54" s="152" t="s">
        <v>265</v>
      </c>
      <c r="L54" s="152" t="s">
        <v>265</v>
      </c>
      <c r="M54" s="152" t="s">
        <v>265</v>
      </c>
      <c r="N54" s="152" t="s">
        <v>265</v>
      </c>
      <c r="O54" s="143"/>
      <c r="P54" s="152" t="s">
        <v>265</v>
      </c>
      <c r="Q54" s="152" t="s">
        <v>265</v>
      </c>
      <c r="R54" s="152" t="s">
        <v>265</v>
      </c>
      <c r="T54" s="48"/>
      <c r="U54" s="27"/>
      <c r="V54" s="27"/>
      <c r="W54" s="27"/>
      <c r="X54" s="27"/>
      <c r="Y54" s="91"/>
      <c r="Z54" s="31"/>
      <c r="AA54" s="31"/>
      <c r="AB54" s="33"/>
      <c r="AC54" s="37"/>
      <c r="AD54" s="44"/>
      <c r="AE54" s="79"/>
      <c r="AF54" s="34"/>
      <c r="AG54" s="34"/>
      <c r="AH54" s="34"/>
      <c r="AI54" s="38"/>
      <c r="AJ54" s="38"/>
      <c r="AK54" s="37"/>
      <c r="AL54" s="38"/>
      <c r="AM54" s="37"/>
      <c r="AN54" s="39">
        <f t="shared" si="18"/>
        <v>0</v>
      </c>
      <c r="AO54" s="38"/>
      <c r="AP54" s="37">
        <f>+AC54+AN54+AO54</f>
        <v>0</v>
      </c>
      <c r="AQ54" s="40"/>
      <c r="AR54" s="66"/>
      <c r="AS54" s="42"/>
      <c r="AT54" s="42"/>
      <c r="AU54" s="45"/>
    </row>
    <row r="55" spans="1:47">
      <c r="A55" s="143"/>
      <c r="B55" s="143"/>
      <c r="C55" s="162">
        <f>SUM(C12:C54)</f>
        <v>192957.55000000002</v>
      </c>
      <c r="D55" s="162">
        <f>SUM(D12:D54)</f>
        <v>0</v>
      </c>
      <c r="E55" s="162">
        <f>SUM(E12:E54)</f>
        <v>429750.31000000006</v>
      </c>
      <c r="F55" s="162">
        <f>SUM(F12:F54)</f>
        <v>622707.8600000001</v>
      </c>
      <c r="H55" s="162">
        <f t="shared" ref="H55:N55" si="19">SUM(H12:H54)</f>
        <v>192957.55000000002</v>
      </c>
      <c r="I55" s="162">
        <f t="shared" si="19"/>
        <v>-3995.200000000003</v>
      </c>
      <c r="J55" s="162">
        <f t="shared" si="19"/>
        <v>3859.1510000000007</v>
      </c>
      <c r="K55" s="162">
        <f t="shared" si="19"/>
        <v>14471.816249999996</v>
      </c>
      <c r="L55" s="162">
        <f t="shared" si="19"/>
        <v>207293.31724999996</v>
      </c>
      <c r="M55" s="162">
        <f t="shared" si="19"/>
        <v>33166.93076000001</v>
      </c>
      <c r="N55" s="162">
        <f t="shared" si="19"/>
        <v>240460.24801000001</v>
      </c>
      <c r="O55" s="143"/>
      <c r="P55" s="162">
        <f>SUM(P12:P54)</f>
        <v>429750.31000000006</v>
      </c>
      <c r="Q55" s="162">
        <f>SUM(Q12:Q54)</f>
        <v>68760.049599999984</v>
      </c>
      <c r="R55" s="162">
        <f>SUM(R12:R54)</f>
        <v>498510.35959999991</v>
      </c>
      <c r="T55" s="67"/>
      <c r="U55" s="68"/>
      <c r="V55" s="27"/>
      <c r="W55" s="27"/>
      <c r="X55" s="68"/>
      <c r="Y55" s="93"/>
      <c r="Z55" s="69"/>
      <c r="AA55" s="69"/>
      <c r="AB55" s="69"/>
      <c r="AC55" s="70"/>
      <c r="AD55" s="69"/>
      <c r="AE55" s="81"/>
      <c r="AF55" s="71"/>
      <c r="AG55" s="71"/>
      <c r="AH55" s="71"/>
      <c r="AI55" s="71"/>
      <c r="AJ55" s="71"/>
      <c r="AK55" s="72"/>
      <c r="AL55" s="71"/>
      <c r="AM55" s="70"/>
      <c r="AN55" s="71"/>
      <c r="AO55" s="71"/>
      <c r="AP55" s="70"/>
      <c r="AQ55" s="73"/>
      <c r="AR55" s="73"/>
      <c r="AS55" s="17"/>
      <c r="AT55" s="17"/>
      <c r="AU55" s="17"/>
    </row>
    <row r="56" spans="1:47" ht="16.5" thickBot="1"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U56" s="74" t="s">
        <v>110</v>
      </c>
      <c r="V56" s="74"/>
      <c r="W56" s="74"/>
      <c r="X56" s="74"/>
      <c r="Y56" s="94">
        <f>SUM(Y12:Y54)</f>
        <v>429750.31000000006</v>
      </c>
      <c r="Z56" s="75">
        <f t="shared" ref="Z56:AH56" si="20">SUM(Z15:Z52)</f>
        <v>0</v>
      </c>
      <c r="AA56" s="75">
        <f t="shared" si="20"/>
        <v>0</v>
      </c>
      <c r="AB56" s="75">
        <f>SUM(AB13:AB54)</f>
        <v>1760.0700000000018</v>
      </c>
      <c r="AC56" s="75">
        <f>SUM(AC13:AC54)</f>
        <v>418790.23999999993</v>
      </c>
      <c r="AD56" s="75">
        <f>SUM(AD13:AD53)</f>
        <v>0</v>
      </c>
      <c r="AE56" s="82">
        <f t="shared" si="20"/>
        <v>1</v>
      </c>
      <c r="AF56" s="75">
        <f t="shared" si="20"/>
        <v>0</v>
      </c>
      <c r="AG56" s="75">
        <f t="shared" si="20"/>
        <v>0</v>
      </c>
      <c r="AH56" s="75">
        <f t="shared" si="20"/>
        <v>0</v>
      </c>
      <c r="AI56" s="75">
        <f>SUM(AI13:AI53)</f>
        <v>2190</v>
      </c>
      <c r="AJ56" s="75">
        <f>SUM(AJ13:AJ54)</f>
        <v>10825.029999999999</v>
      </c>
      <c r="AK56" s="75">
        <f>SUM(AK13:AK54)</f>
        <v>405774.20999999985</v>
      </c>
      <c r="AL56" s="75">
        <f>SUM(AL15:AL52)</f>
        <v>35193.535999999993</v>
      </c>
      <c r="AM56" s="75">
        <f>SUM(AM13:AM54)</f>
        <v>370580.674</v>
      </c>
      <c r="AN56" s="75">
        <f>SUM(AN15:AN52)</f>
        <v>1521.9310000000003</v>
      </c>
      <c r="AO56" s="75">
        <f>SUM(AO15:AO52)</f>
        <v>0</v>
      </c>
      <c r="AP56" s="75">
        <f>SUM(AP15:AP52)</f>
        <v>281485.6939999999</v>
      </c>
      <c r="AQ56" s="73"/>
      <c r="AR56" s="73"/>
      <c r="AS56" s="17"/>
      <c r="AT56" s="17"/>
    </row>
    <row r="57" spans="1:47" ht="16.5" thickTop="1">
      <c r="A57" s="156" t="s">
        <v>266</v>
      </c>
      <c r="B57" s="143"/>
      <c r="C57" s="143"/>
      <c r="D57" s="157"/>
      <c r="E57" s="157"/>
      <c r="F57" s="157"/>
      <c r="H57" s="157"/>
      <c r="I57" s="169"/>
      <c r="J57" s="169"/>
      <c r="K57" s="169"/>
      <c r="L57" s="157"/>
      <c r="M57" s="169"/>
      <c r="N57" s="169"/>
      <c r="O57" s="143"/>
      <c r="P57" s="157"/>
      <c r="Q57" s="170"/>
      <c r="R57" s="170"/>
      <c r="T57" s="235" t="s">
        <v>111</v>
      </c>
      <c r="U57" s="235"/>
      <c r="V57" s="27"/>
      <c r="W57" s="27"/>
      <c r="X57" s="27"/>
      <c r="Y57" s="91"/>
      <c r="Z57" s="31"/>
      <c r="AA57" s="31"/>
      <c r="AB57" s="31"/>
      <c r="AC57" s="76"/>
      <c r="AD57" s="31"/>
      <c r="AE57" s="83"/>
      <c r="AF57" s="31"/>
      <c r="AG57" s="31"/>
      <c r="AH57" s="31"/>
      <c r="AI57" s="31"/>
      <c r="AJ57" s="31"/>
      <c r="AK57" s="76"/>
      <c r="AL57" s="31" t="e">
        <f>+AL56-#REF!</f>
        <v>#REF!</v>
      </c>
      <c r="AM57" s="76"/>
      <c r="AN57" s="31"/>
      <c r="AO57" s="31"/>
      <c r="AP57" s="76"/>
      <c r="AQ57" s="77"/>
      <c r="AR57" s="77"/>
      <c r="AS57" s="27"/>
      <c r="AT57" s="27"/>
      <c r="AU57" s="27"/>
    </row>
    <row r="58" spans="1:47">
      <c r="A58" s="145" t="s">
        <v>267</v>
      </c>
      <c r="B58" s="144" t="s">
        <v>268</v>
      </c>
      <c r="C58" s="157">
        <f>+FISCAL!C58</f>
        <v>1200</v>
      </c>
      <c r="D58" s="157">
        <f>+FISCAL!D58+FISCAL!E58</f>
        <v>1379.52</v>
      </c>
      <c r="E58" s="157">
        <v>0</v>
      </c>
      <c r="F58" s="157">
        <f t="shared" ref="F58:F70" si="21">SUM(C58:E58)</f>
        <v>2579.52</v>
      </c>
      <c r="H58" s="157">
        <f>+FISCAL!F58</f>
        <v>2579.52</v>
      </c>
      <c r="I58" s="169">
        <f t="shared" ref="I58:I70" si="22">-AB58-AI58</f>
        <v>-45.13</v>
      </c>
      <c r="J58" s="169">
        <f t="shared" ref="J58:J70" si="23">+H58*0.02</f>
        <v>51.590400000000002</v>
      </c>
      <c r="K58" s="169">
        <f t="shared" ref="K58:K70" si="24">+H58*7.5%</f>
        <v>193.464</v>
      </c>
      <c r="L58" s="157">
        <f t="shared" ref="L58:L70" si="25">SUM(H58:K58)</f>
        <v>2779.4443999999999</v>
      </c>
      <c r="M58" s="169">
        <f t="shared" ref="M58:M70" si="26">+L58*0.16</f>
        <v>444.71110399999998</v>
      </c>
      <c r="N58" s="169">
        <f t="shared" ref="N58:N70" si="27">+L58+M58</f>
        <v>3224.1555039999998</v>
      </c>
      <c r="O58" s="143"/>
      <c r="P58" s="157">
        <f t="shared" ref="P58:P70" si="28">+E58</f>
        <v>0</v>
      </c>
      <c r="Q58" s="170">
        <f t="shared" ref="Q58:Q70" si="29">+P58*0.16</f>
        <v>0</v>
      </c>
      <c r="R58" s="170">
        <f t="shared" ref="R58:R70" si="30">+P58+Q58</f>
        <v>0</v>
      </c>
      <c r="S58" s="143" t="str">
        <f t="shared" ref="S58:S70" si="31">IF(U58=B58,"SI","NO")</f>
        <v>SI</v>
      </c>
      <c r="T58" s="28" t="s">
        <v>42</v>
      </c>
      <c r="U58" s="28" t="s">
        <v>300</v>
      </c>
      <c r="V58" s="99"/>
      <c r="W58" s="100">
        <v>42635</v>
      </c>
      <c r="X58" s="28" t="s">
        <v>54</v>
      </c>
      <c r="Y58" s="101">
        <v>1379.52</v>
      </c>
      <c r="Z58" s="125"/>
      <c r="AA58" s="102"/>
      <c r="AB58" s="126">
        <v>45.13</v>
      </c>
      <c r="AC58" s="127">
        <v>1334.3899999999999</v>
      </c>
      <c r="AD58" s="102"/>
      <c r="AE58" s="105"/>
      <c r="AF58" s="103"/>
      <c r="AG58" s="103"/>
      <c r="AH58" s="103"/>
      <c r="AI58" s="128"/>
      <c r="AJ58" s="104">
        <v>0</v>
      </c>
      <c r="AK58" s="127">
        <v>1334.3899999999999</v>
      </c>
      <c r="AL58" s="103">
        <v>0</v>
      </c>
      <c r="AM58" s="127">
        <v>1334.3899999999999</v>
      </c>
      <c r="AN58" s="103"/>
      <c r="AO58" s="103"/>
      <c r="AP58" s="127"/>
      <c r="AQ58" s="129"/>
      <c r="AR58" s="130"/>
      <c r="AS58" s="131"/>
      <c r="AT58" s="132">
        <v>1132634759</v>
      </c>
      <c r="AU58" s="28"/>
    </row>
    <row r="59" spans="1:47">
      <c r="A59" s="145" t="s">
        <v>269</v>
      </c>
      <c r="B59" s="144" t="s">
        <v>270</v>
      </c>
      <c r="C59" s="157">
        <f>+FISCAL!C59</f>
        <v>1200</v>
      </c>
      <c r="D59" s="157">
        <f>+FISCAL!D59+FISCAL!E59</f>
        <v>2140</v>
      </c>
      <c r="E59" s="157">
        <v>0</v>
      </c>
      <c r="F59" s="157">
        <f t="shared" si="21"/>
        <v>3340</v>
      </c>
      <c r="H59" s="157">
        <f>+FISCAL!F59</f>
        <v>3340</v>
      </c>
      <c r="I59" s="169">
        <f t="shared" si="22"/>
        <v>-45.13</v>
      </c>
      <c r="J59" s="169">
        <f t="shared" si="23"/>
        <v>66.8</v>
      </c>
      <c r="K59" s="169">
        <f t="shared" si="24"/>
        <v>250.5</v>
      </c>
      <c r="L59" s="157">
        <f t="shared" si="25"/>
        <v>3612.17</v>
      </c>
      <c r="M59" s="169">
        <f t="shared" si="26"/>
        <v>577.94720000000007</v>
      </c>
      <c r="N59" s="169">
        <f t="shared" si="27"/>
        <v>4190.1172000000006</v>
      </c>
      <c r="O59" s="143"/>
      <c r="P59" s="157">
        <f t="shared" si="28"/>
        <v>0</v>
      </c>
      <c r="Q59" s="170">
        <f t="shared" si="29"/>
        <v>0</v>
      </c>
      <c r="R59" s="170">
        <f t="shared" si="30"/>
        <v>0</v>
      </c>
      <c r="S59" s="143" t="str">
        <f t="shared" si="31"/>
        <v>SI</v>
      </c>
      <c r="T59" s="28" t="s">
        <v>134</v>
      </c>
      <c r="U59" s="28" t="s">
        <v>53</v>
      </c>
      <c r="V59" s="99"/>
      <c r="W59" s="100">
        <v>42429</v>
      </c>
      <c r="X59" s="28" t="s">
        <v>54</v>
      </c>
      <c r="Y59" s="101">
        <v>2140</v>
      </c>
      <c r="Z59" s="125"/>
      <c r="AA59" s="102"/>
      <c r="AB59" s="126">
        <v>45.13</v>
      </c>
      <c r="AC59" s="127">
        <v>2094.87</v>
      </c>
      <c r="AD59" s="102"/>
      <c r="AE59" s="105"/>
      <c r="AF59" s="103"/>
      <c r="AG59" s="103"/>
      <c r="AH59" s="103"/>
      <c r="AI59" s="128"/>
      <c r="AJ59" s="104">
        <v>0</v>
      </c>
      <c r="AK59" s="127">
        <v>2094.87</v>
      </c>
      <c r="AL59" s="103">
        <v>0</v>
      </c>
      <c r="AM59" s="127">
        <v>2094.87</v>
      </c>
      <c r="AN59" s="103">
        <v>209.48699999999999</v>
      </c>
      <c r="AO59" s="103">
        <v>21.911999999999999</v>
      </c>
      <c r="AP59" s="127">
        <v>2326.2689999999998</v>
      </c>
      <c r="AQ59" s="129"/>
      <c r="AR59" s="134"/>
      <c r="AS59" s="131">
        <v>-2094.87</v>
      </c>
      <c r="AT59" s="131"/>
      <c r="AU59" s="28"/>
    </row>
    <row r="60" spans="1:47">
      <c r="A60" s="145" t="s">
        <v>271</v>
      </c>
      <c r="B60" s="144" t="s">
        <v>272</v>
      </c>
      <c r="C60" s="157">
        <f>+FISCAL!C60</f>
        <v>1200</v>
      </c>
      <c r="D60" s="157">
        <f>+FISCAL!D60+FISCAL!E60</f>
        <v>1950</v>
      </c>
      <c r="E60" s="157">
        <v>0</v>
      </c>
      <c r="F60" s="157">
        <f t="shared" si="21"/>
        <v>3150</v>
      </c>
      <c r="H60" s="157">
        <f>+FISCAL!F60</f>
        <v>3150</v>
      </c>
      <c r="I60" s="169">
        <f t="shared" si="22"/>
        <v>-45.13</v>
      </c>
      <c r="J60" s="169">
        <f t="shared" si="23"/>
        <v>63</v>
      </c>
      <c r="K60" s="169">
        <f t="shared" si="24"/>
        <v>236.25</v>
      </c>
      <c r="L60" s="157">
        <f t="shared" si="25"/>
        <v>3404.12</v>
      </c>
      <c r="M60" s="169">
        <f t="shared" si="26"/>
        <v>544.65919999999994</v>
      </c>
      <c r="N60" s="169">
        <f t="shared" si="27"/>
        <v>3948.7791999999999</v>
      </c>
      <c r="O60" s="143"/>
      <c r="P60" s="157">
        <f t="shared" si="28"/>
        <v>0</v>
      </c>
      <c r="Q60" s="170">
        <f t="shared" si="29"/>
        <v>0</v>
      </c>
      <c r="R60" s="170">
        <f t="shared" si="30"/>
        <v>0</v>
      </c>
      <c r="S60" s="143" t="str">
        <f t="shared" si="31"/>
        <v>SI</v>
      </c>
      <c r="T60" s="28" t="s">
        <v>134</v>
      </c>
      <c r="U60" s="28" t="s">
        <v>135</v>
      </c>
      <c r="V60" s="99"/>
      <c r="W60" s="100">
        <v>42599</v>
      </c>
      <c r="X60" s="28" t="s">
        <v>54</v>
      </c>
      <c r="Y60" s="101">
        <v>1950</v>
      </c>
      <c r="Z60" s="125"/>
      <c r="AA60" s="102"/>
      <c r="AB60" s="126">
        <v>45.13</v>
      </c>
      <c r="AC60" s="127">
        <v>1904.87</v>
      </c>
      <c r="AD60" s="102"/>
      <c r="AE60" s="105"/>
      <c r="AF60" s="103"/>
      <c r="AG60" s="103"/>
      <c r="AH60" s="103"/>
      <c r="AI60" s="128"/>
      <c r="AJ60" s="104">
        <v>0</v>
      </c>
      <c r="AK60" s="127">
        <v>1904.87</v>
      </c>
      <c r="AL60" s="103">
        <v>0</v>
      </c>
      <c r="AM60" s="127">
        <v>1904.87</v>
      </c>
      <c r="AN60" s="103">
        <v>190.48699999999999</v>
      </c>
      <c r="AO60" s="103">
        <v>21.911999999999999</v>
      </c>
      <c r="AP60" s="127">
        <v>2117.2689999999998</v>
      </c>
      <c r="AQ60" s="129"/>
      <c r="AR60" s="134"/>
      <c r="AS60" s="131"/>
      <c r="AT60" s="131"/>
      <c r="AU60" s="28"/>
    </row>
    <row r="61" spans="1:47">
      <c r="A61" s="145" t="s">
        <v>273</v>
      </c>
      <c r="B61" s="144" t="s">
        <v>274</v>
      </c>
      <c r="C61" s="157">
        <f>+FISCAL!C61</f>
        <v>1200</v>
      </c>
      <c r="D61" s="157">
        <f>+FISCAL!D61+FISCAL!E61</f>
        <v>2055.12</v>
      </c>
      <c r="E61" s="157">
        <v>0</v>
      </c>
      <c r="F61" s="157">
        <f t="shared" si="21"/>
        <v>3255.12</v>
      </c>
      <c r="H61" s="157">
        <f>+FISCAL!F61</f>
        <v>3255.12</v>
      </c>
      <c r="I61" s="169">
        <f t="shared" si="22"/>
        <v>-45.13</v>
      </c>
      <c r="J61" s="169">
        <f t="shared" si="23"/>
        <v>65.102400000000003</v>
      </c>
      <c r="K61" s="169">
        <f t="shared" si="24"/>
        <v>244.13399999999999</v>
      </c>
      <c r="L61" s="157">
        <f t="shared" si="25"/>
        <v>3519.2264</v>
      </c>
      <c r="M61" s="169">
        <f t="shared" si="26"/>
        <v>563.07622400000002</v>
      </c>
      <c r="N61" s="169">
        <f t="shared" si="27"/>
        <v>4082.3026239999999</v>
      </c>
      <c r="O61" s="143"/>
      <c r="P61" s="157">
        <f t="shared" si="28"/>
        <v>0</v>
      </c>
      <c r="Q61" s="170">
        <f t="shared" si="29"/>
        <v>0</v>
      </c>
      <c r="R61" s="170">
        <f t="shared" si="30"/>
        <v>0</v>
      </c>
      <c r="S61" s="143" t="str">
        <f t="shared" si="31"/>
        <v>SI</v>
      </c>
      <c r="T61" s="28" t="s">
        <v>134</v>
      </c>
      <c r="U61" s="28" t="s">
        <v>136</v>
      </c>
      <c r="V61" s="28"/>
      <c r="W61" s="100">
        <v>42598</v>
      </c>
      <c r="X61" s="28" t="s">
        <v>88</v>
      </c>
      <c r="Y61" s="101">
        <v>2055.12</v>
      </c>
      <c r="Z61" s="102"/>
      <c r="AA61" s="102"/>
      <c r="AB61" s="126">
        <v>45.13</v>
      </c>
      <c r="AC61" s="127">
        <v>2009.9899999999998</v>
      </c>
      <c r="AD61" s="102"/>
      <c r="AE61" s="105"/>
      <c r="AF61" s="103"/>
      <c r="AG61" s="103"/>
      <c r="AH61" s="103"/>
      <c r="AI61" s="128"/>
      <c r="AJ61" s="104">
        <v>0</v>
      </c>
      <c r="AK61" s="127">
        <v>2009.9899999999998</v>
      </c>
      <c r="AL61" s="103">
        <v>0</v>
      </c>
      <c r="AM61" s="127">
        <v>2009.9899999999998</v>
      </c>
      <c r="AN61" s="103">
        <v>200.999</v>
      </c>
      <c r="AO61" s="103">
        <v>21.911999999999999</v>
      </c>
      <c r="AP61" s="127">
        <v>2232.9009999999994</v>
      </c>
      <c r="AQ61" s="129"/>
      <c r="AR61" s="130"/>
      <c r="AS61" s="131"/>
      <c r="AT61" s="131"/>
      <c r="AU61" s="28"/>
    </row>
    <row r="62" spans="1:47">
      <c r="A62" s="145" t="s">
        <v>275</v>
      </c>
      <c r="B62" s="144" t="s">
        <v>276</v>
      </c>
      <c r="C62" s="157">
        <f>+FISCAL!C62</f>
        <v>1200</v>
      </c>
      <c r="D62" s="157">
        <f>+FISCAL!D62+FISCAL!E62</f>
        <v>4516.8999999999996</v>
      </c>
      <c r="E62" s="157">
        <v>0</v>
      </c>
      <c r="F62" s="157">
        <f t="shared" si="21"/>
        <v>5716.9</v>
      </c>
      <c r="H62" s="157">
        <f>+FISCAL!F62</f>
        <v>5716.9</v>
      </c>
      <c r="I62" s="169">
        <f t="shared" si="22"/>
        <v>-45.13</v>
      </c>
      <c r="J62" s="169">
        <f t="shared" si="23"/>
        <v>114.33799999999999</v>
      </c>
      <c r="K62" s="169">
        <f t="shared" si="24"/>
        <v>428.76749999999998</v>
      </c>
      <c r="L62" s="157">
        <f t="shared" si="25"/>
        <v>6214.8754999999992</v>
      </c>
      <c r="M62" s="169">
        <f t="shared" si="26"/>
        <v>994.38007999999991</v>
      </c>
      <c r="N62" s="169">
        <f t="shared" si="27"/>
        <v>7209.2555799999991</v>
      </c>
      <c r="O62" s="143"/>
      <c r="P62" s="157">
        <f t="shared" si="28"/>
        <v>0</v>
      </c>
      <c r="Q62" s="170">
        <f t="shared" si="29"/>
        <v>0</v>
      </c>
      <c r="R62" s="170">
        <f t="shared" si="30"/>
        <v>0</v>
      </c>
      <c r="S62" s="143" t="str">
        <f t="shared" si="31"/>
        <v>SI</v>
      </c>
      <c r="T62" s="28" t="s">
        <v>134</v>
      </c>
      <c r="U62" s="28" t="s">
        <v>69</v>
      </c>
      <c r="V62" s="99"/>
      <c r="W62" s="100">
        <v>5</v>
      </c>
      <c r="X62" s="28" t="s">
        <v>60</v>
      </c>
      <c r="Y62" s="101">
        <v>4516.8999999999996</v>
      </c>
      <c r="Z62" s="102"/>
      <c r="AA62" s="102"/>
      <c r="AB62" s="126">
        <v>45.13</v>
      </c>
      <c r="AC62" s="127">
        <v>4471.7699999999995</v>
      </c>
      <c r="AD62" s="102"/>
      <c r="AE62" s="105"/>
      <c r="AF62" s="103"/>
      <c r="AG62" s="103"/>
      <c r="AH62" s="103"/>
      <c r="AI62" s="104"/>
      <c r="AJ62" s="104">
        <v>0</v>
      </c>
      <c r="AK62" s="127">
        <v>4471.7699999999995</v>
      </c>
      <c r="AL62" s="103">
        <v>0</v>
      </c>
      <c r="AM62" s="127">
        <v>4471.7699999999995</v>
      </c>
      <c r="AN62" s="103">
        <v>447.17699999999996</v>
      </c>
      <c r="AO62" s="103">
        <v>21.911999999999999</v>
      </c>
      <c r="AP62" s="127">
        <v>4940.8589999999995</v>
      </c>
      <c r="AQ62" s="129"/>
      <c r="AR62" s="130"/>
      <c r="AS62" s="131">
        <v>-4471.7699999999995</v>
      </c>
      <c r="AT62" s="140"/>
      <c r="AU62" s="28"/>
    </row>
    <row r="63" spans="1:47">
      <c r="A63" s="145" t="s">
        <v>277</v>
      </c>
      <c r="B63" s="144" t="s">
        <v>278</v>
      </c>
      <c r="C63" s="157">
        <f>+FISCAL!C63</f>
        <v>1200</v>
      </c>
      <c r="D63" s="157">
        <f>+FISCAL!D63+FISCAL!E63</f>
        <v>4245</v>
      </c>
      <c r="E63" s="157">
        <v>0</v>
      </c>
      <c r="F63" s="157">
        <f t="shared" si="21"/>
        <v>5445</v>
      </c>
      <c r="H63" s="157">
        <f>+FISCAL!F63</f>
        <v>5445</v>
      </c>
      <c r="I63" s="169">
        <f t="shared" si="22"/>
        <v>-45.13</v>
      </c>
      <c r="J63" s="169">
        <f t="shared" si="23"/>
        <v>108.9</v>
      </c>
      <c r="K63" s="169">
        <f t="shared" si="24"/>
        <v>408.375</v>
      </c>
      <c r="L63" s="157">
        <f t="shared" si="25"/>
        <v>5917.1449999999995</v>
      </c>
      <c r="M63" s="169">
        <f t="shared" si="26"/>
        <v>946.74319999999989</v>
      </c>
      <c r="N63" s="169">
        <f t="shared" si="27"/>
        <v>6863.8881999999994</v>
      </c>
      <c r="O63" s="143"/>
      <c r="P63" s="157">
        <f t="shared" si="28"/>
        <v>0</v>
      </c>
      <c r="Q63" s="170">
        <f t="shared" si="29"/>
        <v>0</v>
      </c>
      <c r="R63" s="170">
        <f t="shared" si="30"/>
        <v>0</v>
      </c>
      <c r="S63" s="143" t="str">
        <f t="shared" si="31"/>
        <v>SI</v>
      </c>
      <c r="T63" s="28" t="s">
        <v>134</v>
      </c>
      <c r="U63" s="28" t="s">
        <v>70</v>
      </c>
      <c r="V63" s="99" t="s">
        <v>71</v>
      </c>
      <c r="W63" s="100">
        <v>41852</v>
      </c>
      <c r="X63" s="28" t="s">
        <v>54</v>
      </c>
      <c r="Y63" s="101">
        <v>4245</v>
      </c>
      <c r="Z63" s="102"/>
      <c r="AA63" s="102"/>
      <c r="AB63" s="126">
        <v>45.13</v>
      </c>
      <c r="AC63" s="127">
        <v>4199.87</v>
      </c>
      <c r="AD63" s="102">
        <v>887.98</v>
      </c>
      <c r="AE63" s="105"/>
      <c r="AF63" s="103"/>
      <c r="AG63" s="103"/>
      <c r="AH63" s="103"/>
      <c r="AI63" s="128"/>
      <c r="AJ63" s="104">
        <v>0</v>
      </c>
      <c r="AK63" s="127">
        <v>3311.89</v>
      </c>
      <c r="AL63" s="103">
        <v>0</v>
      </c>
      <c r="AM63" s="127">
        <v>3311.89</v>
      </c>
      <c r="AN63" s="103">
        <v>419.98700000000002</v>
      </c>
      <c r="AO63" s="103">
        <v>21.911999999999999</v>
      </c>
      <c r="AP63" s="127">
        <v>4641.7690000000002</v>
      </c>
      <c r="AQ63" s="129"/>
      <c r="AR63" s="130"/>
      <c r="AS63" s="131">
        <v>-3311.89</v>
      </c>
      <c r="AT63" s="141"/>
      <c r="AU63" s="135" t="s">
        <v>150</v>
      </c>
    </row>
    <row r="64" spans="1:47">
      <c r="A64" s="145" t="s">
        <v>279</v>
      </c>
      <c r="B64" s="144" t="s">
        <v>280</v>
      </c>
      <c r="C64" s="157">
        <f>+FISCAL!C64</f>
        <v>1200</v>
      </c>
      <c r="D64" s="157">
        <f>+FISCAL!D64+FISCAL!E64</f>
        <v>302.12</v>
      </c>
      <c r="E64" s="157">
        <v>0</v>
      </c>
      <c r="F64" s="157">
        <f t="shared" si="21"/>
        <v>1502.12</v>
      </c>
      <c r="H64" s="157">
        <f>+FISCAL!F64</f>
        <v>1502.12</v>
      </c>
      <c r="I64" s="169">
        <f t="shared" si="22"/>
        <v>-45.13</v>
      </c>
      <c r="J64" s="169">
        <f t="shared" si="23"/>
        <v>30.042399999999997</v>
      </c>
      <c r="K64" s="169">
        <f t="shared" si="24"/>
        <v>112.65899999999999</v>
      </c>
      <c r="L64" s="157">
        <f t="shared" si="25"/>
        <v>1599.6913999999997</v>
      </c>
      <c r="M64" s="169">
        <f t="shared" si="26"/>
        <v>255.95062399999995</v>
      </c>
      <c r="N64" s="169">
        <f t="shared" si="27"/>
        <v>1855.6420239999998</v>
      </c>
      <c r="O64" s="143"/>
      <c r="P64" s="157">
        <f t="shared" si="28"/>
        <v>0</v>
      </c>
      <c r="Q64" s="170">
        <f t="shared" si="29"/>
        <v>0</v>
      </c>
      <c r="R64" s="170">
        <f t="shared" si="30"/>
        <v>0</v>
      </c>
      <c r="S64" s="143" t="str">
        <f t="shared" si="31"/>
        <v>SI</v>
      </c>
      <c r="T64" s="28" t="s">
        <v>134</v>
      </c>
      <c r="U64" s="28" t="s">
        <v>86</v>
      </c>
      <c r="V64" s="99" t="s">
        <v>87</v>
      </c>
      <c r="W64" s="100">
        <v>40122</v>
      </c>
      <c r="X64" s="28" t="s">
        <v>88</v>
      </c>
      <c r="Y64" s="101">
        <v>302.12</v>
      </c>
      <c r="Z64" s="102"/>
      <c r="AA64" s="102"/>
      <c r="AB64" s="126">
        <v>45.13</v>
      </c>
      <c r="AC64" s="127">
        <v>256.99</v>
      </c>
      <c r="AD64" s="102"/>
      <c r="AE64" s="105"/>
      <c r="AF64" s="103"/>
      <c r="AG64" s="103"/>
      <c r="AH64" s="103"/>
      <c r="AI64" s="128"/>
      <c r="AJ64" s="104">
        <v>0</v>
      </c>
      <c r="AK64" s="127">
        <v>256.99</v>
      </c>
      <c r="AL64" s="103">
        <v>0</v>
      </c>
      <c r="AM64" s="127">
        <v>256.99</v>
      </c>
      <c r="AN64" s="103">
        <v>25.699000000000002</v>
      </c>
      <c r="AO64" s="103">
        <v>21.911999999999999</v>
      </c>
      <c r="AP64" s="127">
        <v>304.601</v>
      </c>
      <c r="AQ64" s="129"/>
      <c r="AR64" s="130"/>
      <c r="AS64" s="131">
        <v>-256.99</v>
      </c>
      <c r="AT64" s="131"/>
      <c r="AU64" s="28"/>
    </row>
    <row r="65" spans="1:47">
      <c r="A65" s="145" t="s">
        <v>281</v>
      </c>
      <c r="B65" s="144" t="s">
        <v>282</v>
      </c>
      <c r="C65" s="157">
        <f>+FISCAL!C65</f>
        <v>1750.05</v>
      </c>
      <c r="D65" s="157">
        <f>+FISCAL!D65+FISCAL!E65</f>
        <v>12879.640000000001</v>
      </c>
      <c r="E65" s="157">
        <v>0</v>
      </c>
      <c r="F65" s="157">
        <f t="shared" si="21"/>
        <v>14629.69</v>
      </c>
      <c r="H65" s="157">
        <f>+FISCAL!F65</f>
        <v>14629.69</v>
      </c>
      <c r="I65" s="169">
        <f t="shared" si="22"/>
        <v>0</v>
      </c>
      <c r="J65" s="169">
        <f t="shared" si="23"/>
        <v>292.59380000000004</v>
      </c>
      <c r="K65" s="169">
        <f t="shared" si="24"/>
        <v>1097.22675</v>
      </c>
      <c r="L65" s="157">
        <f t="shared" si="25"/>
        <v>16019.510550000001</v>
      </c>
      <c r="M65" s="169">
        <f t="shared" si="26"/>
        <v>2563.1216880000002</v>
      </c>
      <c r="N65" s="169">
        <f t="shared" si="27"/>
        <v>18582.632238000002</v>
      </c>
      <c r="O65" s="143"/>
      <c r="P65" s="157">
        <f t="shared" si="28"/>
        <v>0</v>
      </c>
      <c r="Q65" s="170">
        <f t="shared" si="29"/>
        <v>0</v>
      </c>
      <c r="R65" s="170">
        <f t="shared" si="30"/>
        <v>0</v>
      </c>
      <c r="S65" s="143" t="str">
        <f t="shared" si="31"/>
        <v>SI</v>
      </c>
      <c r="T65" s="28" t="s">
        <v>55</v>
      </c>
      <c r="U65" s="28" t="s">
        <v>301</v>
      </c>
      <c r="V65" s="99"/>
      <c r="W65" s="100">
        <v>39516</v>
      </c>
      <c r="X65" s="28" t="s">
        <v>80</v>
      </c>
      <c r="Y65" s="101">
        <v>10874.44</v>
      </c>
      <c r="Z65" s="102"/>
      <c r="AA65" s="102">
        <v>2005.2</v>
      </c>
      <c r="AB65" s="126"/>
      <c r="AC65" s="127">
        <f>SUM(Y65:AA65)-AB65</f>
        <v>12879.640000000001</v>
      </c>
      <c r="AD65" s="102"/>
      <c r="AE65" s="103"/>
      <c r="AF65" s="103"/>
      <c r="AG65" s="103"/>
      <c r="AH65" s="103"/>
      <c r="AI65" s="102"/>
      <c r="AJ65" s="102">
        <v>4000</v>
      </c>
      <c r="AK65" s="127">
        <f>+AC65-AD65</f>
        <v>12879.640000000001</v>
      </c>
      <c r="AL65" s="103">
        <f>+AK65*0.05</f>
        <v>643.98200000000008</v>
      </c>
      <c r="AM65" s="127">
        <f>+AK65-AG65-AJ65</f>
        <v>8879.6400000000012</v>
      </c>
      <c r="AN65" s="103">
        <f>IF(AK65&lt;3000,AK65*0.1,0)</f>
        <v>0</v>
      </c>
      <c r="AO65" s="103">
        <v>0</v>
      </c>
      <c r="AP65" s="127">
        <f>+AK65+AN65+AO65</f>
        <v>12879.640000000001</v>
      </c>
      <c r="AQ65" s="136"/>
      <c r="AR65" s="136"/>
      <c r="AS65" s="28"/>
      <c r="AT65" s="28"/>
      <c r="AU65" s="135" t="s">
        <v>159</v>
      </c>
    </row>
    <row r="66" spans="1:47">
      <c r="A66" s="145" t="s">
        <v>283</v>
      </c>
      <c r="B66" s="144" t="s">
        <v>284</v>
      </c>
      <c r="C66" s="157">
        <f>+FISCAL!C66</f>
        <v>1200</v>
      </c>
      <c r="D66" s="157">
        <f>+FISCAL!D66+FISCAL!E66</f>
        <v>4989.6000000000004</v>
      </c>
      <c r="E66" s="157">
        <v>0</v>
      </c>
      <c r="F66" s="157">
        <f t="shared" si="21"/>
        <v>6189.6</v>
      </c>
      <c r="H66" s="157">
        <f>+FISCAL!F66</f>
        <v>6189.6</v>
      </c>
      <c r="I66" s="169">
        <f t="shared" si="22"/>
        <v>-45.13</v>
      </c>
      <c r="J66" s="169">
        <f t="shared" si="23"/>
        <v>123.79200000000002</v>
      </c>
      <c r="K66" s="169">
        <f t="shared" si="24"/>
        <v>464.22</v>
      </c>
      <c r="L66" s="157">
        <f t="shared" si="25"/>
        <v>6732.4820000000009</v>
      </c>
      <c r="M66" s="169">
        <f t="shared" si="26"/>
        <v>1077.1971200000003</v>
      </c>
      <c r="N66" s="169">
        <f t="shared" si="27"/>
        <v>7809.6791200000007</v>
      </c>
      <c r="O66" s="143"/>
      <c r="P66" s="157">
        <f t="shared" si="28"/>
        <v>0</v>
      </c>
      <c r="Q66" s="170">
        <f t="shared" si="29"/>
        <v>0</v>
      </c>
      <c r="R66" s="170">
        <f t="shared" si="30"/>
        <v>0</v>
      </c>
      <c r="S66" s="143" t="str">
        <f t="shared" si="31"/>
        <v>SI</v>
      </c>
      <c r="T66" s="28" t="s">
        <v>134</v>
      </c>
      <c r="U66" s="28" t="s">
        <v>131</v>
      </c>
      <c r="V66" s="28">
        <v>33</v>
      </c>
      <c r="W66" s="100">
        <v>39833</v>
      </c>
      <c r="X66" s="28" t="s">
        <v>92</v>
      </c>
      <c r="Y66" s="101">
        <v>4989.6000000000004</v>
      </c>
      <c r="Z66" s="102"/>
      <c r="AA66" s="102"/>
      <c r="AB66" s="126">
        <v>45.13</v>
      </c>
      <c r="AC66" s="127">
        <v>4944.47</v>
      </c>
      <c r="AD66" s="102"/>
      <c r="AE66" s="105"/>
      <c r="AF66" s="103"/>
      <c r="AG66" s="103"/>
      <c r="AH66" s="103"/>
      <c r="AI66" s="128"/>
      <c r="AJ66" s="104">
        <v>0</v>
      </c>
      <c r="AK66" s="127">
        <v>4944.47</v>
      </c>
      <c r="AL66" s="103">
        <v>494.44700000000006</v>
      </c>
      <c r="AM66" s="127">
        <v>4450.0230000000001</v>
      </c>
      <c r="AN66" s="103">
        <v>0</v>
      </c>
      <c r="AO66" s="103">
        <v>21.911999999999999</v>
      </c>
      <c r="AP66" s="127">
        <v>4966.3820000000005</v>
      </c>
      <c r="AQ66" s="129"/>
      <c r="AR66" s="130"/>
      <c r="AS66" s="131">
        <v>-4450.0230000000001</v>
      </c>
      <c r="AT66" s="131"/>
      <c r="AU66" s="28"/>
    </row>
    <row r="67" spans="1:47">
      <c r="A67" s="145" t="s">
        <v>285</v>
      </c>
      <c r="B67" s="144" t="s">
        <v>286</v>
      </c>
      <c r="C67" s="157">
        <f>+FISCAL!C67</f>
        <v>1200</v>
      </c>
      <c r="D67" s="157">
        <f>+FISCAL!D67+FISCAL!E67</f>
        <v>4543.42</v>
      </c>
      <c r="E67" s="171">
        <v>0</v>
      </c>
      <c r="F67" s="157">
        <f t="shared" si="21"/>
        <v>5743.42</v>
      </c>
      <c r="G67" s="172"/>
      <c r="H67" s="157">
        <f>+FISCAL!F67</f>
        <v>5743.42</v>
      </c>
      <c r="I67" s="169">
        <f t="shared" si="22"/>
        <v>-45.13</v>
      </c>
      <c r="J67" s="169">
        <f t="shared" si="23"/>
        <v>114.86840000000001</v>
      </c>
      <c r="K67" s="169">
        <f t="shared" si="24"/>
        <v>430.75650000000002</v>
      </c>
      <c r="L67" s="157">
        <f t="shared" si="25"/>
        <v>6243.9149000000007</v>
      </c>
      <c r="M67" s="169">
        <f t="shared" si="26"/>
        <v>999.02638400000012</v>
      </c>
      <c r="N67" s="169">
        <f t="shared" si="27"/>
        <v>7242.9412840000005</v>
      </c>
      <c r="O67" s="174"/>
      <c r="P67" s="157">
        <f t="shared" si="28"/>
        <v>0</v>
      </c>
      <c r="Q67" s="170">
        <f t="shared" si="29"/>
        <v>0</v>
      </c>
      <c r="R67" s="170">
        <f t="shared" si="30"/>
        <v>0</v>
      </c>
      <c r="S67" s="143" t="str">
        <f t="shared" si="31"/>
        <v>SI</v>
      </c>
      <c r="T67" s="28" t="s">
        <v>134</v>
      </c>
      <c r="U67" s="28" t="s">
        <v>94</v>
      </c>
      <c r="V67" s="99"/>
      <c r="W67" s="100">
        <v>42429</v>
      </c>
      <c r="X67" s="28" t="s">
        <v>60</v>
      </c>
      <c r="Y67" s="101">
        <v>4543.42</v>
      </c>
      <c r="Z67" s="102"/>
      <c r="AA67" s="102"/>
      <c r="AB67" s="126">
        <v>45.13</v>
      </c>
      <c r="AC67" s="127">
        <v>4498.29</v>
      </c>
      <c r="AD67" s="102"/>
      <c r="AE67" s="105"/>
      <c r="AF67" s="103"/>
      <c r="AG67" s="103"/>
      <c r="AH67" s="103"/>
      <c r="AI67" s="104"/>
      <c r="AJ67" s="104">
        <v>0</v>
      </c>
      <c r="AK67" s="127">
        <v>4498.29</v>
      </c>
      <c r="AL67" s="103">
        <v>0</v>
      </c>
      <c r="AM67" s="127">
        <v>4498.29</v>
      </c>
      <c r="AN67" s="103">
        <v>449.82900000000001</v>
      </c>
      <c r="AO67" s="103">
        <v>21.911999999999999</v>
      </c>
      <c r="AP67" s="127">
        <v>4970.0309999999999</v>
      </c>
      <c r="AQ67" s="129"/>
      <c r="AR67" s="130"/>
      <c r="AS67" s="131">
        <v>-4498.29</v>
      </c>
      <c r="AT67" s="131"/>
      <c r="AU67" s="28"/>
    </row>
    <row r="68" spans="1:47">
      <c r="A68" s="145" t="s">
        <v>287</v>
      </c>
      <c r="B68" s="144" t="s">
        <v>288</v>
      </c>
      <c r="C68" s="157">
        <f>+FISCAL!C68</f>
        <v>1200</v>
      </c>
      <c r="D68" s="157">
        <f>+FISCAL!D68+FISCAL!E68</f>
        <v>11763.56</v>
      </c>
      <c r="E68" s="171">
        <v>0</v>
      </c>
      <c r="F68" s="157">
        <f t="shared" si="21"/>
        <v>12963.56</v>
      </c>
      <c r="G68" s="172"/>
      <c r="H68" s="157">
        <f>+FISCAL!F68</f>
        <v>12963.56</v>
      </c>
      <c r="I68" s="169">
        <f t="shared" si="22"/>
        <v>-45.13</v>
      </c>
      <c r="J68" s="169">
        <f t="shared" si="23"/>
        <v>259.27120000000002</v>
      </c>
      <c r="K68" s="169">
        <f t="shared" si="24"/>
        <v>972.26699999999994</v>
      </c>
      <c r="L68" s="157">
        <f t="shared" si="25"/>
        <v>14149.968199999999</v>
      </c>
      <c r="M68" s="169">
        <f t="shared" si="26"/>
        <v>2263.9949120000001</v>
      </c>
      <c r="N68" s="169">
        <f t="shared" si="27"/>
        <v>16413.963111999998</v>
      </c>
      <c r="O68" s="174"/>
      <c r="P68" s="157">
        <f t="shared" si="28"/>
        <v>0</v>
      </c>
      <c r="Q68" s="170">
        <f t="shared" si="29"/>
        <v>0</v>
      </c>
      <c r="R68" s="170">
        <f t="shared" si="30"/>
        <v>0</v>
      </c>
      <c r="S68" s="143" t="str">
        <f t="shared" si="31"/>
        <v>SI</v>
      </c>
      <c r="T68" s="28" t="s">
        <v>42</v>
      </c>
      <c r="U68" s="28" t="s">
        <v>302</v>
      </c>
      <c r="V68" s="99" t="s">
        <v>98</v>
      </c>
      <c r="W68" s="100">
        <v>40298</v>
      </c>
      <c r="X68" s="28" t="s">
        <v>143</v>
      </c>
      <c r="Y68" s="101">
        <v>11763.56</v>
      </c>
      <c r="Z68" s="102"/>
      <c r="AA68" s="102"/>
      <c r="AB68" s="126">
        <v>45.13</v>
      </c>
      <c r="AC68" s="127">
        <v>11718.43</v>
      </c>
      <c r="AD68" s="102"/>
      <c r="AE68" s="105"/>
      <c r="AF68" s="103"/>
      <c r="AG68" s="103"/>
      <c r="AH68" s="103"/>
      <c r="AI68" s="128"/>
      <c r="AJ68" s="104">
        <v>410</v>
      </c>
      <c r="AK68" s="127">
        <v>11308.43</v>
      </c>
      <c r="AL68" s="103">
        <v>1171.8430000000001</v>
      </c>
      <c r="AM68" s="127">
        <v>10136.587</v>
      </c>
      <c r="AN68" s="103">
        <v>0</v>
      </c>
      <c r="AO68" s="103">
        <v>21.911999999999999</v>
      </c>
      <c r="AP68" s="127">
        <v>11740.342000000001</v>
      </c>
      <c r="AQ68" s="129"/>
      <c r="AR68" s="130"/>
      <c r="AS68" s="131">
        <v>-10136.587</v>
      </c>
      <c r="AT68" s="131"/>
      <c r="AU68" s="137"/>
    </row>
    <row r="69" spans="1:47">
      <c r="A69" s="145" t="s">
        <v>289</v>
      </c>
      <c r="B69" s="144" t="s">
        <v>290</v>
      </c>
      <c r="C69" s="157">
        <f>+FISCAL!C69</f>
        <v>1200</v>
      </c>
      <c r="D69" s="157">
        <f>+FISCAL!D69+FISCAL!E69</f>
        <v>3955.9</v>
      </c>
      <c r="E69" s="171">
        <v>0</v>
      </c>
      <c r="F69" s="157">
        <f t="shared" si="21"/>
        <v>5155.8999999999996</v>
      </c>
      <c r="G69" s="172"/>
      <c r="H69" s="157">
        <f>+FISCAL!F69</f>
        <v>5155.8999999999996</v>
      </c>
      <c r="I69" s="169">
        <f t="shared" si="22"/>
        <v>-45.13</v>
      </c>
      <c r="J69" s="169">
        <f t="shared" si="23"/>
        <v>103.11799999999999</v>
      </c>
      <c r="K69" s="169">
        <f t="shared" si="24"/>
        <v>386.69249999999994</v>
      </c>
      <c r="L69" s="157">
        <f t="shared" si="25"/>
        <v>5600.5805</v>
      </c>
      <c r="M69" s="169">
        <f t="shared" si="26"/>
        <v>896.09288000000004</v>
      </c>
      <c r="N69" s="169">
        <f t="shared" si="27"/>
        <v>6496.6733800000002</v>
      </c>
      <c r="O69" s="174"/>
      <c r="P69" s="157">
        <f t="shared" si="28"/>
        <v>0</v>
      </c>
      <c r="Q69" s="170">
        <f t="shared" si="29"/>
        <v>0</v>
      </c>
      <c r="R69" s="170">
        <f t="shared" si="30"/>
        <v>0</v>
      </c>
      <c r="S69" s="143" t="str">
        <f t="shared" si="31"/>
        <v>SI</v>
      </c>
      <c r="T69" s="28" t="s">
        <v>134</v>
      </c>
      <c r="U69" s="28" t="s">
        <v>147</v>
      </c>
      <c r="V69" s="28"/>
      <c r="W69" s="100">
        <v>42632</v>
      </c>
      <c r="X69" s="28" t="s">
        <v>60</v>
      </c>
      <c r="Y69" s="101">
        <v>3955.9</v>
      </c>
      <c r="Z69" s="102"/>
      <c r="AA69" s="102"/>
      <c r="AB69" s="126">
        <v>45.13</v>
      </c>
      <c r="AC69" s="127">
        <v>3910.77</v>
      </c>
      <c r="AD69" s="102"/>
      <c r="AE69" s="138"/>
      <c r="AF69" s="103"/>
      <c r="AG69" s="103"/>
      <c r="AH69" s="103"/>
      <c r="AI69" s="128"/>
      <c r="AJ69" s="104">
        <v>0</v>
      </c>
      <c r="AK69" s="127">
        <v>3910.77</v>
      </c>
      <c r="AL69" s="103">
        <v>0</v>
      </c>
      <c r="AM69" s="127">
        <v>3910.77</v>
      </c>
      <c r="AN69" s="103"/>
      <c r="AO69" s="103"/>
      <c r="AP69" s="127"/>
      <c r="AQ69" s="129"/>
      <c r="AR69" s="134"/>
      <c r="AS69" s="131"/>
      <c r="AT69" s="139">
        <v>2643837181</v>
      </c>
      <c r="AU69" s="28"/>
    </row>
    <row r="70" spans="1:47">
      <c r="A70" s="145" t="s">
        <v>291</v>
      </c>
      <c r="B70" s="144" t="s">
        <v>292</v>
      </c>
      <c r="C70" s="157">
        <f>+FISCAL!C70</f>
        <v>1200</v>
      </c>
      <c r="D70" s="157">
        <f>+FISCAL!D70+FISCAL!E70</f>
        <v>2002.6</v>
      </c>
      <c r="E70" s="171">
        <v>0</v>
      </c>
      <c r="F70" s="157">
        <f t="shared" si="21"/>
        <v>3202.6</v>
      </c>
      <c r="G70" s="172"/>
      <c r="H70" s="157">
        <f>+FISCAL!F70</f>
        <v>3202.6</v>
      </c>
      <c r="I70" s="169">
        <f t="shared" si="22"/>
        <v>-45.13</v>
      </c>
      <c r="J70" s="169">
        <f t="shared" si="23"/>
        <v>64.051999999999992</v>
      </c>
      <c r="K70" s="169">
        <f t="shared" si="24"/>
        <v>240.19499999999999</v>
      </c>
      <c r="L70" s="157">
        <f t="shared" si="25"/>
        <v>3461.7170000000001</v>
      </c>
      <c r="M70" s="169">
        <f t="shared" si="26"/>
        <v>553.87472000000002</v>
      </c>
      <c r="N70" s="169">
        <f t="shared" si="27"/>
        <v>4015.5917200000004</v>
      </c>
      <c r="O70" s="174"/>
      <c r="P70" s="157">
        <f t="shared" si="28"/>
        <v>0</v>
      </c>
      <c r="Q70" s="170">
        <f t="shared" si="29"/>
        <v>0</v>
      </c>
      <c r="R70" s="170">
        <f t="shared" si="30"/>
        <v>0</v>
      </c>
      <c r="S70" s="143" t="str">
        <f t="shared" si="31"/>
        <v>SI</v>
      </c>
      <c r="T70" s="28" t="s">
        <v>134</v>
      </c>
      <c r="U70" s="28" t="s">
        <v>108</v>
      </c>
      <c r="V70" s="99" t="s">
        <v>109</v>
      </c>
      <c r="W70" s="100">
        <v>41939</v>
      </c>
      <c r="X70" s="28" t="s">
        <v>54</v>
      </c>
      <c r="Y70" s="101">
        <v>2002.6</v>
      </c>
      <c r="Z70" s="102"/>
      <c r="AA70" s="102"/>
      <c r="AB70" s="126">
        <v>45.13</v>
      </c>
      <c r="AC70" s="127">
        <v>1957.4699999999998</v>
      </c>
      <c r="AD70" s="102"/>
      <c r="AE70" s="138"/>
      <c r="AF70" s="103"/>
      <c r="AG70" s="103"/>
      <c r="AH70" s="103"/>
      <c r="AI70" s="128"/>
      <c r="AJ70" s="104">
        <v>300</v>
      </c>
      <c r="AK70" s="127">
        <v>1657.4699999999998</v>
      </c>
      <c r="AL70" s="103">
        <v>0</v>
      </c>
      <c r="AM70" s="127">
        <v>1657.4699999999998</v>
      </c>
      <c r="AN70" s="103">
        <v>195.74699999999999</v>
      </c>
      <c r="AO70" s="103">
        <v>21.911999999999999</v>
      </c>
      <c r="AP70" s="127">
        <v>2175.1289999999995</v>
      </c>
      <c r="AQ70" s="129"/>
      <c r="AR70" s="130"/>
      <c r="AS70" s="131">
        <v>-1657.4699999999998</v>
      </c>
      <c r="AT70" s="131"/>
      <c r="AU70" s="28"/>
    </row>
    <row r="71" spans="1:47">
      <c r="A71" s="160" t="s">
        <v>264</v>
      </c>
      <c r="B71" s="152"/>
      <c r="C71" s="152" t="s">
        <v>265</v>
      </c>
      <c r="D71" s="152" t="s">
        <v>265</v>
      </c>
      <c r="E71" s="152" t="s">
        <v>265</v>
      </c>
      <c r="F71" s="152" t="s">
        <v>265</v>
      </c>
      <c r="G71" s="152"/>
      <c r="H71" s="152" t="s">
        <v>265</v>
      </c>
      <c r="I71" s="152" t="s">
        <v>265</v>
      </c>
      <c r="J71" s="152" t="s">
        <v>265</v>
      </c>
      <c r="K71" s="152" t="s">
        <v>265</v>
      </c>
      <c r="L71" s="152" t="s">
        <v>265</v>
      </c>
      <c r="M71" s="152" t="s">
        <v>265</v>
      </c>
      <c r="N71" s="152" t="s">
        <v>265</v>
      </c>
      <c r="O71" s="143"/>
      <c r="P71" s="152" t="s">
        <v>265</v>
      </c>
      <c r="Q71" s="152" t="s">
        <v>265</v>
      </c>
      <c r="R71" s="152" t="s">
        <v>265</v>
      </c>
      <c r="U71" s="13"/>
    </row>
    <row r="72" spans="1:47">
      <c r="A72" s="143"/>
      <c r="B72" s="143"/>
      <c r="C72" s="162">
        <f>SUM(C58:C71)</f>
        <v>16150.05</v>
      </c>
      <c r="D72" s="162">
        <f>SUM(D58:D71)</f>
        <v>56723.38</v>
      </c>
      <c r="E72" s="162">
        <f>SUM(E58:E71)</f>
        <v>0</v>
      </c>
      <c r="F72" s="162">
        <f>SUM(F58:F71)</f>
        <v>72873.429999999993</v>
      </c>
      <c r="G72" s="162"/>
      <c r="H72" s="162">
        <f t="shared" ref="H72:N72" si="32">SUM(H58:H71)</f>
        <v>72873.429999999993</v>
      </c>
      <c r="I72" s="162">
        <f t="shared" si="32"/>
        <v>-541.56000000000006</v>
      </c>
      <c r="J72" s="162">
        <f t="shared" si="32"/>
        <v>1457.4685999999999</v>
      </c>
      <c r="K72" s="162">
        <f t="shared" si="32"/>
        <v>5465.5072500000006</v>
      </c>
      <c r="L72" s="162">
        <f t="shared" si="32"/>
        <v>79254.845850000012</v>
      </c>
      <c r="M72" s="162">
        <f t="shared" si="32"/>
        <v>12680.775336000001</v>
      </c>
      <c r="N72" s="162">
        <f t="shared" si="32"/>
        <v>91935.621186000004</v>
      </c>
      <c r="O72" s="143"/>
      <c r="P72" s="162">
        <f>SUM(P58:P71)</f>
        <v>0</v>
      </c>
      <c r="Q72" s="162">
        <f>SUM(Q58:Q71)</f>
        <v>0</v>
      </c>
      <c r="R72" s="162">
        <f>SUM(R58:R71)</f>
        <v>0</v>
      </c>
      <c r="U72" s="13"/>
    </row>
    <row r="73" spans="1:47">
      <c r="H73" s="169"/>
      <c r="I73" s="169"/>
      <c r="J73" s="169"/>
      <c r="K73" s="169"/>
      <c r="L73" s="169"/>
      <c r="M73" s="169"/>
      <c r="N73" s="169"/>
      <c r="O73" s="143"/>
      <c r="P73" s="143"/>
      <c r="Q73" s="143"/>
      <c r="R73" s="143"/>
    </row>
    <row r="74" spans="1:47">
      <c r="A74" s="159"/>
      <c r="B74" s="152"/>
      <c r="C74" s="152" t="s">
        <v>293</v>
      </c>
      <c r="D74" s="152" t="s">
        <v>293</v>
      </c>
      <c r="E74" s="152" t="s">
        <v>293</v>
      </c>
      <c r="F74" s="152" t="s">
        <v>293</v>
      </c>
      <c r="G74" s="152"/>
      <c r="H74" s="152" t="s">
        <v>293</v>
      </c>
      <c r="I74" s="152" t="s">
        <v>293</v>
      </c>
      <c r="J74" s="152" t="s">
        <v>293</v>
      </c>
      <c r="K74" s="152" t="s">
        <v>293</v>
      </c>
      <c r="L74" s="152" t="s">
        <v>293</v>
      </c>
      <c r="M74" s="152" t="s">
        <v>293</v>
      </c>
      <c r="N74" s="152" t="s">
        <v>293</v>
      </c>
      <c r="O74" s="143"/>
      <c r="P74" s="152" t="s">
        <v>293</v>
      </c>
      <c r="Q74" s="152" t="s">
        <v>293</v>
      </c>
      <c r="R74" s="152" t="s">
        <v>293</v>
      </c>
    </row>
    <row r="75" spans="1:47">
      <c r="A75" s="160" t="s">
        <v>294</v>
      </c>
      <c r="B75" s="144" t="s">
        <v>161</v>
      </c>
      <c r="C75" s="162">
        <f>+C72+C55</f>
        <v>209107.6</v>
      </c>
      <c r="D75" s="162">
        <f t="shared" ref="D75:R75" si="33">+D72+D55</f>
        <v>56723.38</v>
      </c>
      <c r="E75" s="162">
        <f t="shared" si="33"/>
        <v>429750.31000000006</v>
      </c>
      <c r="F75" s="162">
        <f t="shared" si="33"/>
        <v>695581.29</v>
      </c>
      <c r="G75" s="162"/>
      <c r="H75" s="162">
        <f>+H72+H55</f>
        <v>265830.98</v>
      </c>
      <c r="I75" s="162">
        <f t="shared" si="33"/>
        <v>-4536.7600000000029</v>
      </c>
      <c r="J75" s="162">
        <f t="shared" si="33"/>
        <v>5316.6196000000009</v>
      </c>
      <c r="K75" s="162">
        <f t="shared" si="33"/>
        <v>19937.323499999999</v>
      </c>
      <c r="L75" s="162">
        <f t="shared" si="33"/>
        <v>286548.16310000001</v>
      </c>
      <c r="M75" s="162">
        <f t="shared" si="33"/>
        <v>45847.706096000009</v>
      </c>
      <c r="N75" s="162">
        <f t="shared" si="33"/>
        <v>332395.86919600004</v>
      </c>
      <c r="O75" s="143"/>
      <c r="P75" s="162">
        <f>+P72+P55</f>
        <v>429750.31000000006</v>
      </c>
      <c r="Q75" s="162">
        <f t="shared" si="33"/>
        <v>68760.049599999984</v>
      </c>
      <c r="R75" s="162">
        <f t="shared" si="33"/>
        <v>498510.35959999991</v>
      </c>
      <c r="Z75" s="16"/>
      <c r="AA75" s="16"/>
      <c r="AB75" s="16"/>
      <c r="AC75" s="16"/>
      <c r="AD75" s="16"/>
      <c r="AE75" s="84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</row>
    <row r="76" spans="1:47">
      <c r="H76" s="176"/>
      <c r="I76" s="143"/>
      <c r="J76" s="143"/>
      <c r="K76" s="143"/>
      <c r="L76" s="143"/>
      <c r="M76" s="143"/>
      <c r="N76" s="143"/>
      <c r="O76" s="152"/>
      <c r="P76" s="143"/>
      <c r="Q76" s="143"/>
      <c r="R76" s="143"/>
      <c r="Z76" s="16"/>
      <c r="AA76" s="16"/>
      <c r="AB76" s="16"/>
      <c r="AC76" s="16"/>
      <c r="AD76" s="16"/>
      <c r="AE76" s="84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</row>
    <row r="77" spans="1:47">
      <c r="A77" s="143"/>
      <c r="B77" s="143"/>
      <c r="C77" s="144" t="s">
        <v>161</v>
      </c>
      <c r="D77" s="144" t="s">
        <v>161</v>
      </c>
      <c r="I77" s="144" t="s">
        <v>161</v>
      </c>
      <c r="J77" s="144" t="s">
        <v>161</v>
      </c>
      <c r="K77" s="144" t="s">
        <v>161</v>
      </c>
      <c r="L77" s="144" t="s">
        <v>161</v>
      </c>
      <c r="M77" s="144" t="s">
        <v>161</v>
      </c>
      <c r="N77" s="144" t="s">
        <v>161</v>
      </c>
      <c r="O77" s="143"/>
      <c r="P77" s="144" t="s">
        <v>161</v>
      </c>
      <c r="Q77" s="144" t="s">
        <v>161</v>
      </c>
      <c r="R77" s="144" t="s">
        <v>161</v>
      </c>
      <c r="Z77" s="16"/>
      <c r="AA77" s="16"/>
      <c r="AB77" s="16"/>
      <c r="AC77" s="16"/>
      <c r="AD77" s="16"/>
      <c r="AE77" s="84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</row>
    <row r="78" spans="1:47">
      <c r="A78" s="145" t="s">
        <v>161</v>
      </c>
      <c r="B78" s="144" t="s">
        <v>161</v>
      </c>
      <c r="C78" s="161"/>
      <c r="D78" s="161"/>
      <c r="E78" s="161"/>
      <c r="H78" s="162"/>
      <c r="I78" s="161"/>
      <c r="J78" s="161"/>
      <c r="K78" s="161"/>
      <c r="L78" s="161"/>
      <c r="M78" s="161"/>
      <c r="N78" s="161"/>
      <c r="O78" s="143"/>
      <c r="P78" s="161"/>
      <c r="Q78" s="161"/>
      <c r="R78" s="161"/>
      <c r="Z78" s="16"/>
      <c r="AA78" s="16"/>
      <c r="AB78" s="16"/>
      <c r="AC78" s="16"/>
      <c r="AD78" s="16"/>
      <c r="AE78" s="84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</row>
    <row r="79" spans="1:47">
      <c r="H79" s="143"/>
      <c r="I79" s="143"/>
      <c r="J79" s="143"/>
      <c r="K79" s="143"/>
      <c r="L79" s="143"/>
      <c r="M79" s="143"/>
      <c r="N79" s="143"/>
      <c r="O79" s="152"/>
      <c r="P79" s="143"/>
      <c r="Q79" s="143"/>
      <c r="R79" s="143"/>
      <c r="Z79" s="16"/>
      <c r="AA79" s="16"/>
      <c r="AB79" s="16"/>
      <c r="AC79" s="16"/>
      <c r="AD79" s="16"/>
      <c r="AE79" s="84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</row>
    <row r="80" spans="1:47"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Z80" s="16"/>
      <c r="AA80" s="16"/>
      <c r="AB80" s="16"/>
      <c r="AC80" s="16"/>
      <c r="AD80" s="16"/>
      <c r="AE80" s="84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</row>
    <row r="81" spans="8:44"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Z81" s="16"/>
      <c r="AA81" s="16"/>
      <c r="AB81" s="16"/>
      <c r="AC81" s="16"/>
      <c r="AD81" s="16"/>
      <c r="AE81" s="84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</row>
    <row r="82" spans="8:44"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Z82" s="16"/>
      <c r="AA82" s="16"/>
      <c r="AB82" s="16"/>
      <c r="AC82" s="16"/>
      <c r="AD82" s="16"/>
      <c r="AE82" s="84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</row>
    <row r="83" spans="8:44"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Z83" s="16"/>
      <c r="AA83" s="16"/>
      <c r="AB83" s="16"/>
      <c r="AC83" s="16"/>
      <c r="AD83" s="16"/>
      <c r="AE83" s="84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</row>
    <row r="84" spans="8:44"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Z84" s="16"/>
      <c r="AA84" s="16"/>
      <c r="AB84" s="16"/>
      <c r="AC84" s="16"/>
      <c r="AD84" s="16"/>
      <c r="AE84" s="84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</row>
    <row r="85" spans="8:44">
      <c r="O85" s="143"/>
      <c r="Z85" s="16"/>
      <c r="AA85" s="16"/>
      <c r="AB85" s="16"/>
      <c r="AC85" s="16"/>
      <c r="AD85" s="16"/>
      <c r="AE85" s="84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</row>
    <row r="86" spans="8:44">
      <c r="Z86" s="16"/>
      <c r="AA86" s="16"/>
      <c r="AB86" s="16"/>
      <c r="AC86" s="16"/>
      <c r="AD86" s="16"/>
      <c r="AE86" s="84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</row>
    <row r="87" spans="8:44">
      <c r="Z87" s="16"/>
      <c r="AA87" s="16"/>
      <c r="AB87" s="16"/>
      <c r="AC87" s="16"/>
      <c r="AD87" s="16"/>
      <c r="AE87" s="84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</row>
    <row r="88" spans="8:44">
      <c r="Z88" s="16"/>
      <c r="AA88" s="16"/>
      <c r="AB88" s="16"/>
      <c r="AC88" s="16"/>
      <c r="AD88" s="16"/>
      <c r="AE88" s="84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</row>
    <row r="89" spans="8:44">
      <c r="Z89" s="16"/>
      <c r="AA89" s="16"/>
      <c r="AB89" s="16"/>
      <c r="AC89" s="16"/>
      <c r="AD89" s="16"/>
      <c r="AE89" s="84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</row>
    <row r="90" spans="8:44">
      <c r="Z90" s="16"/>
      <c r="AA90" s="16"/>
      <c r="AB90" s="16"/>
      <c r="AC90" s="16"/>
      <c r="AD90" s="16"/>
      <c r="AE90" s="84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</row>
    <row r="91" spans="8:44">
      <c r="Z91" s="16"/>
      <c r="AA91" s="16"/>
      <c r="AB91" s="16"/>
      <c r="AC91" s="16"/>
      <c r="AD91" s="16"/>
      <c r="AE91" s="84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</row>
    <row r="92" spans="8:44">
      <c r="Z92" s="16"/>
      <c r="AA92" s="16"/>
      <c r="AB92" s="16"/>
      <c r="AC92" s="16"/>
      <c r="AD92" s="16"/>
      <c r="AE92" s="84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</row>
    <row r="93" spans="8:44">
      <c r="Z93" s="16"/>
      <c r="AA93" s="16"/>
      <c r="AB93" s="16"/>
      <c r="AC93" s="16"/>
      <c r="AD93" s="16"/>
      <c r="AE93" s="84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</row>
    <row r="94" spans="8:44">
      <c r="Z94" s="16"/>
      <c r="AA94" s="16"/>
      <c r="AB94" s="16"/>
      <c r="AC94" s="16"/>
      <c r="AD94" s="16"/>
      <c r="AE94" s="84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</row>
    <row r="95" spans="8:44">
      <c r="Z95" s="16"/>
      <c r="AA95" s="16"/>
      <c r="AB95" s="16"/>
      <c r="AC95" s="16"/>
      <c r="AD95" s="16"/>
      <c r="AE95" s="84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</row>
    <row r="96" spans="8:44">
      <c r="Z96" s="16"/>
      <c r="AA96" s="16"/>
      <c r="AB96" s="16"/>
      <c r="AC96" s="16"/>
      <c r="AD96" s="16"/>
      <c r="AE96" s="84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</row>
    <row r="97" spans="26:44">
      <c r="Z97" s="16"/>
      <c r="AA97" s="16"/>
      <c r="AB97" s="16"/>
      <c r="AC97" s="16"/>
      <c r="AD97" s="16"/>
      <c r="AE97" s="84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</row>
    <row r="98" spans="26:44">
      <c r="Z98" s="16"/>
      <c r="AA98" s="16"/>
      <c r="AB98" s="16"/>
      <c r="AC98" s="16"/>
      <c r="AD98" s="16"/>
      <c r="AE98" s="84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</row>
    <row r="99" spans="26:44">
      <c r="Z99" s="16"/>
      <c r="AA99" s="16"/>
      <c r="AB99" s="16"/>
      <c r="AC99" s="16"/>
      <c r="AD99" s="16"/>
      <c r="AE99" s="84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</row>
    <row r="100" spans="26:44">
      <c r="Z100" s="16"/>
      <c r="AA100" s="16"/>
      <c r="AB100" s="16"/>
      <c r="AC100" s="16"/>
      <c r="AD100" s="16"/>
      <c r="AE100" s="84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</row>
    <row r="101" spans="26:44">
      <c r="Z101" s="16"/>
      <c r="AA101" s="16"/>
      <c r="AB101" s="16"/>
      <c r="AC101" s="16"/>
      <c r="AD101" s="16"/>
      <c r="AE101" s="84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</row>
    <row r="102" spans="26:44">
      <c r="Z102" s="16"/>
      <c r="AA102" s="16"/>
      <c r="AB102" s="16"/>
      <c r="AC102" s="16"/>
      <c r="AD102" s="16"/>
      <c r="AE102" s="84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</row>
    <row r="103" spans="26:44">
      <c r="Z103" s="16"/>
      <c r="AA103" s="16"/>
      <c r="AB103" s="16"/>
      <c r="AC103" s="16"/>
      <c r="AD103" s="16"/>
      <c r="AE103" s="84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</row>
    <row r="104" spans="26:44">
      <c r="Z104" s="16"/>
      <c r="AA104" s="16"/>
      <c r="AB104" s="16"/>
      <c r="AC104" s="16"/>
      <c r="AD104" s="16"/>
      <c r="AE104" s="84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</row>
    <row r="105" spans="26:44">
      <c r="Z105" s="16"/>
      <c r="AA105" s="16"/>
      <c r="AB105" s="16"/>
      <c r="AC105" s="16"/>
      <c r="AD105" s="16"/>
      <c r="AE105" s="84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</row>
    <row r="106" spans="26:44">
      <c r="Z106" s="16"/>
      <c r="AA106" s="16"/>
      <c r="AB106" s="16"/>
      <c r="AC106" s="16"/>
      <c r="AD106" s="16"/>
      <c r="AE106" s="84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</row>
    <row r="107" spans="26:44">
      <c r="Z107" s="16"/>
      <c r="AA107" s="16"/>
      <c r="AB107" s="16"/>
      <c r="AC107" s="16"/>
      <c r="AD107" s="16"/>
      <c r="AE107" s="84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</row>
    <row r="108" spans="26:44">
      <c r="Z108" s="16"/>
      <c r="AA108" s="16"/>
      <c r="AB108" s="16"/>
      <c r="AC108" s="16"/>
      <c r="AD108" s="16"/>
      <c r="AE108" s="84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</row>
    <row r="109" spans="26:44">
      <c r="Z109" s="16"/>
      <c r="AA109" s="16"/>
      <c r="AB109" s="16"/>
      <c r="AC109" s="16"/>
      <c r="AD109" s="16"/>
      <c r="AE109" s="84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</row>
    <row r="110" spans="26:44">
      <c r="Z110" s="16"/>
      <c r="AA110" s="16"/>
      <c r="AB110" s="16"/>
      <c r="AC110" s="16"/>
      <c r="AD110" s="16"/>
      <c r="AE110" s="84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</row>
    <row r="111" spans="26:44">
      <c r="Z111" s="16"/>
      <c r="AA111" s="16"/>
      <c r="AB111" s="16"/>
      <c r="AC111" s="16"/>
      <c r="AD111" s="16"/>
      <c r="AE111" s="84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</row>
    <row r="112" spans="26:44">
      <c r="Z112" s="16"/>
      <c r="AA112" s="16"/>
      <c r="AB112" s="16"/>
      <c r="AC112" s="16"/>
      <c r="AD112" s="16"/>
      <c r="AE112" s="84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</row>
    <row r="113" spans="26:44">
      <c r="Z113" s="16"/>
      <c r="AA113" s="16"/>
      <c r="AB113" s="16"/>
      <c r="AC113" s="16"/>
      <c r="AD113" s="16"/>
      <c r="AE113" s="84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</row>
    <row r="114" spans="26:44">
      <c r="Z114" s="16"/>
      <c r="AA114" s="16"/>
      <c r="AB114" s="16"/>
      <c r="AC114" s="16"/>
      <c r="AD114" s="16"/>
      <c r="AE114" s="84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</row>
    <row r="115" spans="26:44">
      <c r="Z115" s="16"/>
      <c r="AA115" s="16"/>
      <c r="AB115" s="16"/>
      <c r="AC115" s="16"/>
      <c r="AD115" s="16"/>
      <c r="AE115" s="84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</row>
    <row r="116" spans="26:44">
      <c r="Z116" s="16"/>
      <c r="AA116" s="16"/>
      <c r="AB116" s="16"/>
      <c r="AC116" s="16"/>
      <c r="AD116" s="16"/>
      <c r="AE116" s="84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</row>
    <row r="117" spans="26:44">
      <c r="Z117" s="16"/>
      <c r="AA117" s="16"/>
      <c r="AB117" s="16"/>
      <c r="AC117" s="16"/>
      <c r="AD117" s="16"/>
      <c r="AE117" s="84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</row>
    <row r="118" spans="26:44">
      <c r="Z118" s="16"/>
      <c r="AA118" s="16"/>
      <c r="AB118" s="16"/>
      <c r="AC118" s="16"/>
      <c r="AD118" s="16"/>
      <c r="AE118" s="84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</row>
    <row r="119" spans="26:44">
      <c r="Z119" s="16"/>
      <c r="AA119" s="16"/>
      <c r="AB119" s="16"/>
      <c r="AC119" s="16"/>
      <c r="AD119" s="16"/>
      <c r="AE119" s="84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</row>
    <row r="120" spans="26:44">
      <c r="Z120" s="16"/>
      <c r="AA120" s="16"/>
      <c r="AB120" s="16"/>
      <c r="AC120" s="16"/>
      <c r="AD120" s="16"/>
      <c r="AE120" s="84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</row>
    <row r="121" spans="26:44">
      <c r="Z121" s="16"/>
      <c r="AA121" s="16"/>
      <c r="AB121" s="16"/>
      <c r="AC121" s="16"/>
      <c r="AD121" s="16"/>
      <c r="AE121" s="84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</row>
    <row r="122" spans="26:44">
      <c r="Z122" s="16"/>
      <c r="AA122" s="16"/>
      <c r="AB122" s="16"/>
      <c r="AC122" s="16"/>
      <c r="AD122" s="16"/>
      <c r="AE122" s="84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</row>
    <row r="123" spans="26:44">
      <c r="Z123" s="16"/>
      <c r="AA123" s="16"/>
      <c r="AB123" s="16"/>
      <c r="AC123" s="16"/>
      <c r="AD123" s="16"/>
      <c r="AE123" s="84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</row>
    <row r="124" spans="26:44">
      <c r="Z124" s="16"/>
      <c r="AA124" s="16"/>
      <c r="AB124" s="16"/>
      <c r="AC124" s="16"/>
      <c r="AD124" s="16"/>
      <c r="AE124" s="84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</row>
    <row r="125" spans="26:44">
      <c r="Z125" s="16"/>
      <c r="AA125" s="16"/>
      <c r="AB125" s="16"/>
      <c r="AC125" s="16"/>
      <c r="AD125" s="16"/>
      <c r="AE125" s="84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</row>
    <row r="126" spans="26:44">
      <c r="Z126" s="16"/>
      <c r="AA126" s="16"/>
      <c r="AB126" s="16"/>
      <c r="AC126" s="16"/>
      <c r="AD126" s="16"/>
      <c r="AE126" s="84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</row>
    <row r="127" spans="26:44">
      <c r="Z127" s="16"/>
      <c r="AA127" s="16"/>
      <c r="AB127" s="16"/>
      <c r="AC127" s="16"/>
      <c r="AD127" s="16"/>
      <c r="AE127" s="84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</row>
    <row r="128" spans="26:44">
      <c r="Z128" s="16"/>
      <c r="AA128" s="16"/>
      <c r="AB128" s="16"/>
      <c r="AC128" s="16"/>
      <c r="AD128" s="16"/>
      <c r="AE128" s="84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</row>
    <row r="129" spans="26:44">
      <c r="Z129" s="16"/>
      <c r="AA129" s="16"/>
      <c r="AB129" s="16"/>
      <c r="AC129" s="16"/>
      <c r="AD129" s="16"/>
      <c r="AE129" s="84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</row>
    <row r="130" spans="26:44">
      <c r="Z130" s="16"/>
      <c r="AA130" s="16"/>
      <c r="AB130" s="16"/>
      <c r="AC130" s="16"/>
      <c r="AD130" s="16"/>
      <c r="AE130" s="84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</row>
    <row r="131" spans="26:44">
      <c r="Z131" s="16"/>
      <c r="AA131" s="16"/>
      <c r="AB131" s="16"/>
      <c r="AC131" s="16"/>
      <c r="AD131" s="16"/>
      <c r="AE131" s="84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</row>
    <row r="132" spans="26:44">
      <c r="Z132" s="16"/>
      <c r="AA132" s="16"/>
      <c r="AB132" s="16"/>
      <c r="AC132" s="16"/>
      <c r="AD132" s="16"/>
      <c r="AE132" s="84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</row>
    <row r="133" spans="26:44">
      <c r="Z133" s="16"/>
      <c r="AA133" s="16"/>
      <c r="AB133" s="16"/>
      <c r="AC133" s="16"/>
      <c r="AD133" s="16"/>
      <c r="AE133" s="84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</row>
    <row r="134" spans="26:44">
      <c r="Z134" s="16"/>
      <c r="AA134" s="16"/>
      <c r="AB134" s="16"/>
      <c r="AC134" s="16"/>
      <c r="AD134" s="16"/>
      <c r="AE134" s="84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</row>
    <row r="135" spans="26:44">
      <c r="Z135" s="16"/>
      <c r="AA135" s="16"/>
      <c r="AB135" s="16"/>
      <c r="AC135" s="16"/>
      <c r="AD135" s="16"/>
      <c r="AE135" s="84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</row>
    <row r="136" spans="26:44">
      <c r="Z136" s="16"/>
      <c r="AA136" s="16"/>
      <c r="AB136" s="16"/>
      <c r="AC136" s="16"/>
      <c r="AD136" s="16"/>
      <c r="AE136" s="84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</row>
    <row r="137" spans="26:44">
      <c r="Z137" s="16"/>
      <c r="AA137" s="16"/>
      <c r="AB137" s="16"/>
      <c r="AC137" s="16"/>
      <c r="AD137" s="16"/>
      <c r="AE137" s="84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</row>
    <row r="138" spans="26:44">
      <c r="Z138" s="16"/>
      <c r="AA138" s="16"/>
      <c r="AB138" s="16"/>
      <c r="AC138" s="16"/>
      <c r="AD138" s="16"/>
      <c r="AE138" s="84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</row>
    <row r="139" spans="26:44">
      <c r="Z139" s="16"/>
      <c r="AA139" s="16"/>
      <c r="AB139" s="16"/>
      <c r="AC139" s="16"/>
      <c r="AD139" s="16"/>
      <c r="AE139" s="84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</row>
    <row r="140" spans="26:44">
      <c r="Z140" s="16"/>
      <c r="AA140" s="16"/>
      <c r="AB140" s="16"/>
      <c r="AC140" s="16"/>
      <c r="AD140" s="16"/>
      <c r="AE140" s="84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</row>
    <row r="141" spans="26:44">
      <c r="Z141" s="16"/>
      <c r="AA141" s="16"/>
      <c r="AB141" s="16"/>
      <c r="AC141" s="16"/>
      <c r="AD141" s="16"/>
      <c r="AE141" s="84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</row>
    <row r="142" spans="26:44">
      <c r="Z142" s="16"/>
      <c r="AA142" s="16"/>
      <c r="AB142" s="16"/>
      <c r="AC142" s="16"/>
      <c r="AD142" s="16"/>
      <c r="AE142" s="84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</row>
    <row r="143" spans="26:44">
      <c r="Z143" s="16"/>
      <c r="AA143" s="16"/>
      <c r="AB143" s="16"/>
      <c r="AC143" s="16"/>
      <c r="AD143" s="16"/>
      <c r="AE143" s="84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</row>
    <row r="144" spans="26:44">
      <c r="Z144" s="16"/>
      <c r="AA144" s="16"/>
      <c r="AB144" s="16"/>
      <c r="AC144" s="16"/>
      <c r="AD144" s="16"/>
      <c r="AE144" s="84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</row>
    <row r="145" spans="26:44">
      <c r="Z145" s="16"/>
      <c r="AA145" s="16"/>
      <c r="AB145" s="16"/>
      <c r="AC145" s="16"/>
      <c r="AD145" s="16"/>
      <c r="AE145" s="84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</row>
    <row r="146" spans="26:44">
      <c r="Z146" s="16"/>
      <c r="AA146" s="16"/>
      <c r="AB146" s="16"/>
      <c r="AC146" s="16"/>
      <c r="AD146" s="16"/>
      <c r="AE146" s="84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</row>
    <row r="147" spans="26:44">
      <c r="Z147" s="16"/>
      <c r="AA147" s="16"/>
      <c r="AB147" s="16"/>
      <c r="AC147" s="16"/>
      <c r="AD147" s="16"/>
      <c r="AE147" s="84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</row>
    <row r="148" spans="26:44">
      <c r="Z148" s="16"/>
      <c r="AA148" s="16"/>
      <c r="AB148" s="16"/>
      <c r="AC148" s="16"/>
      <c r="AD148" s="16"/>
      <c r="AE148" s="84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</row>
    <row r="149" spans="26:44">
      <c r="Z149" s="16"/>
      <c r="AA149" s="16"/>
      <c r="AB149" s="16"/>
      <c r="AC149" s="16"/>
      <c r="AD149" s="16"/>
      <c r="AE149" s="84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</row>
    <row r="150" spans="26:44">
      <c r="Z150" s="16"/>
      <c r="AA150" s="16"/>
      <c r="AB150" s="16"/>
      <c r="AC150" s="16"/>
      <c r="AD150" s="16"/>
      <c r="AE150" s="84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</row>
    <row r="151" spans="26:44">
      <c r="Z151" s="16"/>
      <c r="AA151" s="16"/>
      <c r="AB151" s="16"/>
      <c r="AC151" s="16"/>
      <c r="AD151" s="16"/>
      <c r="AE151" s="84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</row>
    <row r="152" spans="26:44">
      <c r="Z152" s="16"/>
      <c r="AA152" s="16"/>
      <c r="AB152" s="16"/>
      <c r="AC152" s="16"/>
      <c r="AD152" s="16"/>
      <c r="AE152" s="84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</row>
    <row r="153" spans="26:44">
      <c r="Z153" s="16"/>
      <c r="AA153" s="16"/>
      <c r="AB153" s="16"/>
      <c r="AC153" s="16"/>
      <c r="AD153" s="16"/>
      <c r="AE153" s="84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</row>
    <row r="154" spans="26:44">
      <c r="Z154" s="16"/>
      <c r="AA154" s="16"/>
      <c r="AB154" s="16"/>
      <c r="AC154" s="16"/>
      <c r="AD154" s="16"/>
      <c r="AE154" s="84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</row>
    <row r="155" spans="26:44">
      <c r="Z155" s="16"/>
      <c r="AA155" s="16"/>
      <c r="AB155" s="16"/>
      <c r="AC155" s="16"/>
      <c r="AD155" s="16"/>
      <c r="AE155" s="84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</row>
    <row r="156" spans="26:44">
      <c r="Z156" s="16"/>
      <c r="AA156" s="16"/>
      <c r="AB156" s="16"/>
      <c r="AC156" s="16"/>
      <c r="AD156" s="16"/>
      <c r="AE156" s="84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</row>
    <row r="157" spans="26:44">
      <c r="Z157" s="16"/>
      <c r="AA157" s="16"/>
      <c r="AB157" s="16"/>
      <c r="AC157" s="16"/>
      <c r="AD157" s="16"/>
      <c r="AE157" s="84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</row>
    <row r="158" spans="26:44">
      <c r="Z158" s="16"/>
      <c r="AA158" s="16"/>
      <c r="AB158" s="16"/>
      <c r="AC158" s="16"/>
      <c r="AD158" s="16"/>
      <c r="AE158" s="84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</row>
    <row r="159" spans="26:44">
      <c r="Z159" s="16"/>
      <c r="AA159" s="16"/>
      <c r="AB159" s="16"/>
      <c r="AC159" s="16"/>
      <c r="AD159" s="16"/>
      <c r="AE159" s="84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</row>
    <row r="160" spans="26:44">
      <c r="Z160" s="16"/>
      <c r="AA160" s="16"/>
      <c r="AB160" s="16"/>
      <c r="AC160" s="16"/>
      <c r="AD160" s="16"/>
      <c r="AE160" s="84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</row>
    <row r="161" spans="26:44">
      <c r="Z161" s="16"/>
      <c r="AA161" s="16"/>
      <c r="AB161" s="16"/>
      <c r="AC161" s="16"/>
      <c r="AD161" s="16"/>
      <c r="AE161" s="84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</row>
    <row r="162" spans="26:44">
      <c r="Z162" s="16"/>
      <c r="AA162" s="16"/>
      <c r="AB162" s="16"/>
      <c r="AC162" s="16"/>
      <c r="AD162" s="16"/>
      <c r="AE162" s="84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</row>
    <row r="163" spans="26:44">
      <c r="Z163" s="16"/>
      <c r="AA163" s="16"/>
      <c r="AB163" s="16"/>
      <c r="AC163" s="16"/>
      <c r="AD163" s="16"/>
      <c r="AE163" s="84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</row>
    <row r="164" spans="26:44">
      <c r="Z164" s="16"/>
      <c r="AA164" s="16"/>
      <c r="AB164" s="16"/>
      <c r="AC164" s="16"/>
      <c r="AD164" s="16"/>
      <c r="AE164" s="84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</row>
    <row r="165" spans="26:44">
      <c r="Z165" s="16"/>
      <c r="AA165" s="16"/>
      <c r="AB165" s="16"/>
      <c r="AC165" s="16"/>
      <c r="AD165" s="16"/>
      <c r="AE165" s="84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</row>
    <row r="166" spans="26:44">
      <c r="Z166" s="16"/>
      <c r="AA166" s="16"/>
      <c r="AB166" s="16"/>
      <c r="AC166" s="16"/>
      <c r="AD166" s="16"/>
      <c r="AE166" s="84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</row>
    <row r="167" spans="26:44">
      <c r="Z167" s="16"/>
      <c r="AA167" s="16"/>
      <c r="AB167" s="16"/>
      <c r="AC167" s="16"/>
      <c r="AD167" s="16"/>
      <c r="AE167" s="84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</row>
    <row r="168" spans="26:44">
      <c r="Z168" s="16"/>
      <c r="AA168" s="16"/>
      <c r="AB168" s="16"/>
      <c r="AC168" s="16"/>
      <c r="AD168" s="16"/>
      <c r="AE168" s="84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</row>
    <row r="169" spans="26:44">
      <c r="Z169" s="16"/>
      <c r="AA169" s="16"/>
      <c r="AB169" s="16"/>
      <c r="AC169" s="16"/>
      <c r="AD169" s="16"/>
      <c r="AE169" s="84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</row>
    <row r="170" spans="26:44">
      <c r="Z170" s="16"/>
      <c r="AA170" s="16"/>
      <c r="AB170" s="16"/>
      <c r="AC170" s="16"/>
      <c r="AD170" s="16"/>
      <c r="AE170" s="84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</row>
    <row r="171" spans="26:44">
      <c r="Z171" s="16"/>
      <c r="AA171" s="16"/>
      <c r="AB171" s="16"/>
      <c r="AC171" s="16"/>
      <c r="AD171" s="16"/>
      <c r="AE171" s="84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</row>
    <row r="172" spans="26:44">
      <c r="Z172" s="16"/>
      <c r="AA172" s="16"/>
      <c r="AB172" s="16"/>
      <c r="AC172" s="16"/>
      <c r="AD172" s="16"/>
      <c r="AE172" s="84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</row>
    <row r="173" spans="26:44">
      <c r="Z173" s="16"/>
      <c r="AA173" s="16"/>
      <c r="AB173" s="16"/>
      <c r="AC173" s="16"/>
      <c r="AD173" s="16"/>
      <c r="AE173" s="84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</row>
    <row r="174" spans="26:44">
      <c r="Z174" s="16"/>
      <c r="AA174" s="16"/>
      <c r="AB174" s="16"/>
      <c r="AC174" s="16"/>
      <c r="AD174" s="16"/>
      <c r="AE174" s="84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</row>
    <row r="175" spans="26:44">
      <c r="Z175" s="16"/>
      <c r="AA175" s="16"/>
      <c r="AB175" s="16"/>
      <c r="AC175" s="16"/>
      <c r="AD175" s="16"/>
      <c r="AE175" s="84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</row>
    <row r="176" spans="26:44">
      <c r="Z176" s="16"/>
      <c r="AA176" s="16"/>
      <c r="AB176" s="16"/>
      <c r="AC176" s="16"/>
      <c r="AD176" s="16"/>
      <c r="AE176" s="84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</row>
    <row r="177" spans="26:44">
      <c r="Z177" s="16"/>
      <c r="AA177" s="16"/>
      <c r="AB177" s="16"/>
      <c r="AC177" s="16"/>
      <c r="AD177" s="16"/>
      <c r="AE177" s="84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</row>
    <row r="178" spans="26:44">
      <c r="Z178" s="16"/>
      <c r="AA178" s="16"/>
      <c r="AB178" s="16"/>
      <c r="AC178" s="16"/>
      <c r="AD178" s="16"/>
      <c r="AE178" s="84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</row>
    <row r="179" spans="26:44">
      <c r="Z179" s="16"/>
      <c r="AA179" s="16"/>
      <c r="AB179" s="16"/>
      <c r="AC179" s="16"/>
      <c r="AD179" s="16"/>
      <c r="AE179" s="84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</row>
    <row r="180" spans="26:44">
      <c r="Z180" s="16"/>
      <c r="AA180" s="16"/>
      <c r="AB180" s="16"/>
      <c r="AC180" s="16"/>
      <c r="AD180" s="16"/>
      <c r="AE180" s="84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</row>
    <row r="181" spans="26:44">
      <c r="Z181" s="16"/>
      <c r="AA181" s="16"/>
      <c r="AB181" s="16"/>
      <c r="AC181" s="16"/>
      <c r="AD181" s="16"/>
      <c r="AE181" s="84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</row>
    <row r="182" spans="26:44">
      <c r="Z182" s="16"/>
      <c r="AA182" s="16"/>
      <c r="AB182" s="16"/>
      <c r="AC182" s="16"/>
      <c r="AD182" s="16"/>
      <c r="AE182" s="84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</row>
    <row r="183" spans="26:44">
      <c r="Z183" s="16"/>
      <c r="AA183" s="16"/>
      <c r="AB183" s="16"/>
      <c r="AC183" s="16"/>
      <c r="AD183" s="16"/>
      <c r="AE183" s="84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</row>
    <row r="184" spans="26:44">
      <c r="Z184" s="16"/>
      <c r="AA184" s="16"/>
      <c r="AB184" s="16"/>
      <c r="AC184" s="16"/>
      <c r="AD184" s="16"/>
      <c r="AE184" s="84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</row>
    <row r="185" spans="26:44">
      <c r="Z185" s="16"/>
      <c r="AA185" s="16"/>
      <c r="AB185" s="16"/>
      <c r="AC185" s="16"/>
      <c r="AD185" s="16"/>
      <c r="AE185" s="84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</row>
    <row r="186" spans="26:44">
      <c r="Z186" s="16"/>
      <c r="AA186" s="16"/>
      <c r="AB186" s="16"/>
      <c r="AC186" s="16"/>
      <c r="AD186" s="16"/>
      <c r="AE186" s="84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</row>
    <row r="187" spans="26:44">
      <c r="Z187" s="16"/>
      <c r="AA187" s="16"/>
      <c r="AB187" s="16"/>
      <c r="AC187" s="16"/>
      <c r="AD187" s="16"/>
      <c r="AE187" s="84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</row>
    <row r="188" spans="26:44">
      <c r="Z188" s="16"/>
      <c r="AA188" s="16"/>
      <c r="AB188" s="16"/>
      <c r="AC188" s="16"/>
      <c r="AD188" s="16"/>
      <c r="AE188" s="84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</row>
    <row r="189" spans="26:44">
      <c r="Z189" s="16"/>
      <c r="AA189" s="16"/>
      <c r="AB189" s="16"/>
      <c r="AC189" s="16"/>
      <c r="AD189" s="16"/>
      <c r="AE189" s="84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</row>
    <row r="190" spans="26:44">
      <c r="Z190" s="16"/>
      <c r="AA190" s="16"/>
      <c r="AB190" s="16"/>
      <c r="AC190" s="16"/>
      <c r="AD190" s="16"/>
      <c r="AE190" s="84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</row>
    <row r="191" spans="26:44">
      <c r="Z191" s="16"/>
      <c r="AA191" s="16"/>
      <c r="AB191" s="16"/>
      <c r="AC191" s="16"/>
      <c r="AD191" s="16"/>
      <c r="AE191" s="84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</row>
    <row r="192" spans="26:44">
      <c r="Z192" s="16"/>
      <c r="AA192" s="16"/>
      <c r="AB192" s="16"/>
      <c r="AC192" s="16"/>
      <c r="AD192" s="16"/>
      <c r="AE192" s="84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</row>
    <row r="193" spans="26:44">
      <c r="Z193" s="16"/>
      <c r="AA193" s="16"/>
      <c r="AB193" s="16"/>
      <c r="AC193" s="16"/>
      <c r="AD193" s="16"/>
      <c r="AE193" s="84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</row>
    <row r="194" spans="26:44">
      <c r="Z194" s="16"/>
      <c r="AA194" s="16"/>
      <c r="AB194" s="16"/>
      <c r="AC194" s="16"/>
      <c r="AD194" s="16"/>
      <c r="AE194" s="84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</row>
    <row r="195" spans="26:44">
      <c r="Z195" s="16"/>
      <c r="AA195" s="16"/>
      <c r="AB195" s="16"/>
      <c r="AC195" s="16"/>
      <c r="AD195" s="16"/>
      <c r="AE195" s="84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</row>
    <row r="196" spans="26:44">
      <c r="Z196" s="16"/>
      <c r="AA196" s="16"/>
      <c r="AB196" s="16"/>
      <c r="AC196" s="16"/>
      <c r="AD196" s="16"/>
      <c r="AE196" s="84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</row>
    <row r="197" spans="26:44">
      <c r="Z197" s="16"/>
      <c r="AA197" s="16"/>
      <c r="AB197" s="16"/>
      <c r="AC197" s="16"/>
      <c r="AD197" s="16"/>
      <c r="AE197" s="84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</row>
    <row r="198" spans="26:44">
      <c r="Z198" s="16"/>
      <c r="AA198" s="16"/>
      <c r="AB198" s="16"/>
      <c r="AC198" s="16"/>
      <c r="AD198" s="16"/>
      <c r="AE198" s="84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</row>
    <row r="199" spans="26:44">
      <c r="Z199" s="16"/>
      <c r="AA199" s="16"/>
      <c r="AB199" s="16"/>
      <c r="AC199" s="16"/>
      <c r="AD199" s="16"/>
      <c r="AE199" s="84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</row>
    <row r="200" spans="26:44">
      <c r="Z200" s="16"/>
      <c r="AA200" s="16"/>
      <c r="AB200" s="16"/>
      <c r="AC200" s="16"/>
      <c r="AD200" s="16"/>
      <c r="AE200" s="84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</row>
    <row r="201" spans="26:44">
      <c r="Z201" s="16"/>
      <c r="AA201" s="16"/>
      <c r="AB201" s="16"/>
      <c r="AC201" s="16"/>
      <c r="AD201" s="16"/>
      <c r="AE201" s="84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</row>
    <row r="202" spans="26:44">
      <c r="Z202" s="16"/>
      <c r="AA202" s="16"/>
      <c r="AB202" s="16"/>
      <c r="AC202" s="16"/>
      <c r="AD202" s="16"/>
      <c r="AE202" s="84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</row>
    <row r="203" spans="26:44">
      <c r="Z203" s="16"/>
      <c r="AA203" s="16"/>
      <c r="AB203" s="16"/>
      <c r="AC203" s="16"/>
      <c r="AD203" s="16"/>
      <c r="AE203" s="84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</row>
    <row r="204" spans="26:44">
      <c r="Z204" s="16"/>
      <c r="AA204" s="16"/>
      <c r="AB204" s="16"/>
      <c r="AC204" s="16"/>
      <c r="AD204" s="16"/>
      <c r="AE204" s="84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</row>
    <row r="205" spans="26:44">
      <c r="Z205" s="16"/>
      <c r="AA205" s="16"/>
      <c r="AB205" s="16"/>
      <c r="AC205" s="16"/>
      <c r="AD205" s="16"/>
      <c r="AE205" s="84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</row>
    <row r="206" spans="26:44">
      <c r="Z206" s="16"/>
      <c r="AA206" s="16"/>
      <c r="AB206" s="16"/>
      <c r="AC206" s="16"/>
      <c r="AD206" s="16"/>
      <c r="AE206" s="84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</row>
    <row r="207" spans="26:44">
      <c r="Z207" s="16"/>
      <c r="AA207" s="16"/>
      <c r="AB207" s="16"/>
      <c r="AC207" s="16"/>
      <c r="AD207" s="16"/>
      <c r="AE207" s="84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</row>
    <row r="208" spans="26:44">
      <c r="Z208" s="16"/>
      <c r="AA208" s="16"/>
      <c r="AB208" s="16"/>
      <c r="AC208" s="16"/>
      <c r="AD208" s="16"/>
      <c r="AE208" s="84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</row>
    <row r="209" spans="26:44">
      <c r="Z209" s="16"/>
      <c r="AA209" s="16"/>
      <c r="AB209" s="16"/>
      <c r="AC209" s="16"/>
      <c r="AD209" s="16"/>
      <c r="AE209" s="84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</row>
    <row r="210" spans="26:44">
      <c r="Z210" s="16"/>
      <c r="AA210" s="16"/>
      <c r="AB210" s="16"/>
      <c r="AC210" s="16"/>
      <c r="AD210" s="16"/>
      <c r="AE210" s="84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</row>
    <row r="211" spans="26:44">
      <c r="Z211" s="16"/>
      <c r="AA211" s="16"/>
      <c r="AB211" s="16"/>
      <c r="AC211" s="16"/>
      <c r="AD211" s="16"/>
      <c r="AE211" s="84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</row>
    <row r="212" spans="26:44">
      <c r="Z212" s="16"/>
      <c r="AA212" s="16"/>
      <c r="AB212" s="16"/>
      <c r="AC212" s="16"/>
      <c r="AD212" s="16"/>
      <c r="AE212" s="84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</row>
    <row r="213" spans="26:44">
      <c r="Z213" s="16"/>
      <c r="AA213" s="16"/>
      <c r="AB213" s="16"/>
      <c r="AC213" s="16"/>
      <c r="AD213" s="16"/>
      <c r="AE213" s="84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</row>
    <row r="214" spans="26:44">
      <c r="Z214" s="16"/>
      <c r="AA214" s="16"/>
      <c r="AB214" s="16"/>
      <c r="AC214" s="16"/>
      <c r="AD214" s="16"/>
      <c r="AE214" s="84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</row>
    <row r="215" spans="26:44">
      <c r="Z215" s="16"/>
      <c r="AA215" s="16"/>
      <c r="AB215" s="16"/>
      <c r="AC215" s="16"/>
      <c r="AD215" s="16"/>
      <c r="AE215" s="84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</row>
    <row r="216" spans="26:44">
      <c r="Z216" s="16"/>
      <c r="AA216" s="16"/>
      <c r="AB216" s="16"/>
      <c r="AC216" s="16"/>
      <c r="AD216" s="16"/>
      <c r="AE216" s="84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</row>
    <row r="217" spans="26:44">
      <c r="Z217" s="16"/>
      <c r="AA217" s="16"/>
      <c r="AB217" s="16"/>
      <c r="AC217" s="16"/>
      <c r="AD217" s="16"/>
      <c r="AE217" s="84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</row>
    <row r="218" spans="26:44">
      <c r="Z218" s="16"/>
      <c r="AA218" s="16"/>
      <c r="AB218" s="16"/>
      <c r="AC218" s="16"/>
      <c r="AD218" s="16"/>
      <c r="AE218" s="84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</row>
    <row r="219" spans="26:44">
      <c r="Z219" s="16"/>
      <c r="AA219" s="16"/>
      <c r="AB219" s="16"/>
      <c r="AC219" s="16"/>
      <c r="AD219" s="16"/>
      <c r="AE219" s="84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</row>
    <row r="220" spans="26:44">
      <c r="Z220" s="16"/>
      <c r="AA220" s="16"/>
      <c r="AB220" s="16"/>
      <c r="AC220" s="16"/>
      <c r="AD220" s="16"/>
      <c r="AE220" s="84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</row>
    <row r="221" spans="26:44">
      <c r="Z221" s="16"/>
      <c r="AA221" s="16"/>
      <c r="AB221" s="16"/>
      <c r="AC221" s="16"/>
      <c r="AD221" s="16"/>
      <c r="AE221" s="84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</row>
    <row r="222" spans="26:44">
      <c r="Z222" s="16"/>
      <c r="AA222" s="16"/>
      <c r="AB222" s="16"/>
      <c r="AC222" s="16"/>
      <c r="AD222" s="16"/>
      <c r="AE222" s="84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</row>
    <row r="223" spans="26:44">
      <c r="Z223" s="16"/>
      <c r="AA223" s="16"/>
      <c r="AB223" s="16"/>
      <c r="AC223" s="16"/>
      <c r="AD223" s="16"/>
      <c r="AE223" s="84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</row>
    <row r="224" spans="26:44">
      <c r="Z224" s="16"/>
      <c r="AA224" s="16"/>
      <c r="AB224" s="16"/>
      <c r="AC224" s="16"/>
      <c r="AD224" s="16"/>
      <c r="AE224" s="84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</row>
    <row r="225" spans="26:44">
      <c r="Z225" s="16"/>
      <c r="AA225" s="16"/>
      <c r="AB225" s="16"/>
      <c r="AC225" s="16"/>
      <c r="AD225" s="16"/>
      <c r="AE225" s="84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</row>
    <row r="226" spans="26:44">
      <c r="Z226" s="16"/>
      <c r="AA226" s="16"/>
      <c r="AB226" s="16"/>
      <c r="AC226" s="16"/>
      <c r="AD226" s="16"/>
      <c r="AE226" s="84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</row>
    <row r="227" spans="26:44">
      <c r="Z227" s="16"/>
      <c r="AA227" s="16"/>
      <c r="AB227" s="16"/>
      <c r="AC227" s="16"/>
      <c r="AD227" s="16"/>
      <c r="AE227" s="84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</row>
    <row r="228" spans="26:44">
      <c r="Z228" s="16"/>
      <c r="AA228" s="16"/>
      <c r="AB228" s="16"/>
      <c r="AC228" s="16"/>
      <c r="AD228" s="16"/>
      <c r="AE228" s="84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</row>
    <row r="229" spans="26:44">
      <c r="Z229" s="16"/>
      <c r="AA229" s="16"/>
      <c r="AB229" s="16"/>
      <c r="AC229" s="16"/>
      <c r="AD229" s="16"/>
      <c r="AE229" s="84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</row>
    <row r="230" spans="26:44">
      <c r="Z230" s="16"/>
      <c r="AA230" s="16"/>
      <c r="AB230" s="16"/>
      <c r="AC230" s="16"/>
      <c r="AD230" s="16"/>
      <c r="AE230" s="84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</row>
    <row r="231" spans="26:44">
      <c r="Z231" s="16"/>
      <c r="AA231" s="16"/>
      <c r="AB231" s="16"/>
      <c r="AC231" s="16"/>
      <c r="AD231" s="16"/>
      <c r="AE231" s="84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</row>
    <row r="232" spans="26:44">
      <c r="Z232" s="16"/>
      <c r="AA232" s="16"/>
      <c r="AB232" s="16"/>
      <c r="AC232" s="16"/>
      <c r="AD232" s="16"/>
      <c r="AE232" s="84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</row>
    <row r="233" spans="26:44">
      <c r="Z233" s="16"/>
      <c r="AA233" s="16"/>
      <c r="AB233" s="16"/>
      <c r="AC233" s="16"/>
      <c r="AD233" s="16"/>
      <c r="AE233" s="84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</row>
    <row r="234" spans="26:44">
      <c r="Z234" s="16"/>
      <c r="AA234" s="16"/>
      <c r="AB234" s="16"/>
      <c r="AC234" s="16"/>
      <c r="AD234" s="16"/>
      <c r="AE234" s="84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</row>
    <row r="235" spans="26:44">
      <c r="Z235" s="16"/>
      <c r="AA235" s="16"/>
      <c r="AB235" s="16"/>
      <c r="AC235" s="16"/>
      <c r="AD235" s="16"/>
      <c r="AE235" s="84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</row>
    <row r="236" spans="26:44">
      <c r="Z236" s="16"/>
      <c r="AA236" s="16"/>
      <c r="AB236" s="16"/>
      <c r="AC236" s="16"/>
      <c r="AD236" s="16"/>
      <c r="AE236" s="84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</row>
    <row r="237" spans="26:44">
      <c r="Z237" s="16"/>
      <c r="AA237" s="16"/>
      <c r="AB237" s="16"/>
      <c r="AC237" s="16"/>
      <c r="AD237" s="16"/>
      <c r="AE237" s="84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</row>
    <row r="238" spans="26:44">
      <c r="Z238" s="16"/>
      <c r="AA238" s="16"/>
      <c r="AB238" s="16"/>
      <c r="AC238" s="16"/>
      <c r="AD238" s="16"/>
      <c r="AE238" s="84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</row>
    <row r="239" spans="26:44">
      <c r="Z239" s="16"/>
      <c r="AA239" s="16"/>
      <c r="AB239" s="16"/>
      <c r="AC239" s="16"/>
      <c r="AD239" s="16"/>
      <c r="AE239" s="84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</row>
    <row r="240" spans="26:44">
      <c r="Z240" s="16"/>
      <c r="AA240" s="16"/>
      <c r="AB240" s="16"/>
      <c r="AC240" s="16"/>
      <c r="AD240" s="16"/>
      <c r="AE240" s="84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</row>
    <row r="241" spans="26:44">
      <c r="Z241" s="16"/>
      <c r="AA241" s="16"/>
      <c r="AB241" s="16"/>
      <c r="AC241" s="16"/>
      <c r="AD241" s="16"/>
      <c r="AE241" s="84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</row>
    <row r="242" spans="26:44">
      <c r="Z242" s="16"/>
      <c r="AA242" s="16"/>
      <c r="AB242" s="16"/>
      <c r="AC242" s="16"/>
      <c r="AD242" s="16"/>
      <c r="AE242" s="84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</row>
    <row r="243" spans="26:44">
      <c r="Z243" s="16"/>
      <c r="AA243" s="16"/>
      <c r="AB243" s="16"/>
      <c r="AC243" s="16"/>
      <c r="AD243" s="16"/>
      <c r="AE243" s="84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</row>
    <row r="244" spans="26:44">
      <c r="Z244" s="16"/>
      <c r="AA244" s="16"/>
      <c r="AB244" s="16"/>
      <c r="AC244" s="16"/>
      <c r="AD244" s="16"/>
      <c r="AE244" s="84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</row>
    <row r="245" spans="26:44">
      <c r="Z245" s="16"/>
      <c r="AA245" s="16"/>
      <c r="AB245" s="16"/>
      <c r="AC245" s="16"/>
      <c r="AD245" s="16"/>
      <c r="AE245" s="84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</row>
    <row r="246" spans="26:44">
      <c r="Z246" s="16"/>
      <c r="AA246" s="16"/>
      <c r="AB246" s="16"/>
      <c r="AC246" s="16"/>
      <c r="AD246" s="16"/>
      <c r="AE246" s="84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</row>
    <row r="247" spans="26:44">
      <c r="Z247" s="16"/>
      <c r="AA247" s="16"/>
      <c r="AB247" s="16"/>
      <c r="AC247" s="16"/>
      <c r="AD247" s="16"/>
      <c r="AE247" s="84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</row>
    <row r="248" spans="26:44">
      <c r="Z248" s="16"/>
      <c r="AA248" s="16"/>
      <c r="AB248" s="16"/>
      <c r="AC248" s="16"/>
      <c r="AD248" s="16"/>
      <c r="AE248" s="84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</row>
    <row r="249" spans="26:44">
      <c r="Z249" s="16"/>
      <c r="AA249" s="16"/>
      <c r="AB249" s="16"/>
      <c r="AC249" s="16"/>
      <c r="AD249" s="16"/>
      <c r="AE249" s="84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</row>
    <row r="250" spans="26:44">
      <c r="Z250" s="16"/>
      <c r="AA250" s="16"/>
      <c r="AB250" s="16"/>
      <c r="AC250" s="16"/>
      <c r="AD250" s="16"/>
      <c r="AE250" s="84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</row>
    <row r="251" spans="26:44">
      <c r="Z251" s="16"/>
      <c r="AA251" s="16"/>
      <c r="AB251" s="16"/>
      <c r="AC251" s="16"/>
      <c r="AD251" s="16"/>
      <c r="AE251" s="84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</row>
    <row r="252" spans="26:44">
      <c r="Z252" s="16"/>
      <c r="AA252" s="16"/>
      <c r="AB252" s="16"/>
      <c r="AC252" s="16"/>
      <c r="AD252" s="16"/>
      <c r="AE252" s="84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</row>
    <row r="253" spans="26:44">
      <c r="Z253" s="16"/>
      <c r="AA253" s="16"/>
      <c r="AB253" s="16"/>
      <c r="AC253" s="16"/>
      <c r="AD253" s="16"/>
      <c r="AE253" s="84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</row>
    <row r="254" spans="26:44">
      <c r="Z254" s="16"/>
      <c r="AA254" s="16"/>
      <c r="AB254" s="16"/>
      <c r="AC254" s="16"/>
      <c r="AD254" s="16"/>
      <c r="AE254" s="84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</row>
    <row r="255" spans="26:44">
      <c r="Z255" s="16"/>
      <c r="AA255" s="16"/>
      <c r="AB255" s="16"/>
      <c r="AC255" s="16"/>
      <c r="AD255" s="16"/>
      <c r="AE255" s="84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</row>
    <row r="256" spans="26:44">
      <c r="Z256" s="16"/>
      <c r="AA256" s="16"/>
      <c r="AB256" s="16"/>
      <c r="AC256" s="16"/>
      <c r="AD256" s="16"/>
      <c r="AE256" s="84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</row>
    <row r="257" spans="26:44">
      <c r="Z257" s="16"/>
      <c r="AA257" s="16"/>
      <c r="AB257" s="16"/>
      <c r="AC257" s="16"/>
      <c r="AD257" s="16"/>
      <c r="AE257" s="84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</row>
    <row r="258" spans="26:44">
      <c r="Z258" s="16"/>
      <c r="AA258" s="16"/>
      <c r="AB258" s="16"/>
      <c r="AC258" s="16"/>
      <c r="AD258" s="16"/>
      <c r="AE258" s="84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</row>
    <row r="259" spans="26:44">
      <c r="Z259" s="16"/>
      <c r="AA259" s="16"/>
      <c r="AB259" s="16"/>
      <c r="AC259" s="16"/>
      <c r="AD259" s="16"/>
      <c r="AE259" s="84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</row>
    <row r="260" spans="26:44">
      <c r="Z260" s="16"/>
      <c r="AA260" s="16"/>
      <c r="AB260" s="16"/>
      <c r="AC260" s="16"/>
      <c r="AD260" s="16"/>
      <c r="AE260" s="84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</row>
    <row r="261" spans="26:44">
      <c r="Z261" s="16"/>
      <c r="AA261" s="16"/>
      <c r="AB261" s="16"/>
      <c r="AC261" s="16"/>
      <c r="AD261" s="16"/>
      <c r="AE261" s="84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</row>
    <row r="262" spans="26:44">
      <c r="Z262" s="16"/>
      <c r="AA262" s="16"/>
      <c r="AB262" s="16"/>
      <c r="AC262" s="16"/>
      <c r="AD262" s="16"/>
      <c r="AE262" s="84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</row>
    <row r="263" spans="26:44">
      <c r="Z263" s="16"/>
      <c r="AA263" s="16"/>
      <c r="AB263" s="16"/>
      <c r="AC263" s="16"/>
      <c r="AD263" s="16"/>
      <c r="AE263" s="84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</row>
    <row r="264" spans="26:44">
      <c r="Z264" s="16"/>
      <c r="AA264" s="16"/>
      <c r="AB264" s="16"/>
      <c r="AC264" s="16"/>
      <c r="AD264" s="16"/>
      <c r="AE264" s="84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</row>
    <row r="265" spans="26:44">
      <c r="Z265" s="16"/>
      <c r="AA265" s="16"/>
      <c r="AB265" s="16"/>
      <c r="AC265" s="16"/>
      <c r="AD265" s="16"/>
      <c r="AE265" s="84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</row>
    <row r="266" spans="26:44">
      <c r="Z266" s="16"/>
      <c r="AA266" s="16"/>
      <c r="AB266" s="16"/>
      <c r="AC266" s="16"/>
      <c r="AD266" s="16"/>
      <c r="AE266" s="84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</row>
    <row r="267" spans="26:44">
      <c r="Z267" s="16"/>
      <c r="AA267" s="16"/>
      <c r="AB267" s="16"/>
      <c r="AC267" s="16"/>
      <c r="AD267" s="16"/>
      <c r="AE267" s="84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</row>
    <row r="268" spans="26:44">
      <c r="Z268" s="16"/>
      <c r="AA268" s="16"/>
      <c r="AB268" s="16"/>
      <c r="AC268" s="16"/>
      <c r="AD268" s="16"/>
      <c r="AE268" s="84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</row>
    <row r="269" spans="26:44">
      <c r="Z269" s="16"/>
      <c r="AA269" s="16"/>
      <c r="AB269" s="16"/>
      <c r="AC269" s="16"/>
      <c r="AD269" s="16"/>
      <c r="AE269" s="84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</row>
    <row r="270" spans="26:44">
      <c r="Z270" s="16"/>
      <c r="AA270" s="16"/>
      <c r="AB270" s="16"/>
      <c r="AC270" s="16"/>
      <c r="AD270" s="16"/>
      <c r="AE270" s="84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</row>
    <row r="271" spans="26:44">
      <c r="Z271" s="16"/>
      <c r="AA271" s="16"/>
      <c r="AB271" s="16"/>
      <c r="AC271" s="16"/>
      <c r="AD271" s="16"/>
      <c r="AE271" s="84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</row>
    <row r="272" spans="26:44">
      <c r="Z272" s="16"/>
      <c r="AA272" s="16"/>
      <c r="AB272" s="16"/>
      <c r="AC272" s="16"/>
      <c r="AD272" s="16"/>
      <c r="AE272" s="84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</row>
    <row r="273" spans="26:44">
      <c r="Z273" s="16"/>
      <c r="AA273" s="16"/>
      <c r="AB273" s="16"/>
      <c r="AC273" s="16"/>
      <c r="AD273" s="16"/>
      <c r="AE273" s="84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</row>
    <row r="274" spans="26:44">
      <c r="Z274" s="16"/>
      <c r="AA274" s="16"/>
      <c r="AB274" s="16"/>
      <c r="AC274" s="16"/>
      <c r="AD274" s="16"/>
      <c r="AE274" s="84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</row>
    <row r="275" spans="26:44">
      <c r="Z275" s="16"/>
      <c r="AA275" s="16"/>
      <c r="AB275" s="16"/>
      <c r="AC275" s="16"/>
      <c r="AD275" s="16"/>
      <c r="AE275" s="84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</row>
    <row r="276" spans="26:44">
      <c r="Z276" s="16"/>
      <c r="AA276" s="16"/>
      <c r="AB276" s="16"/>
      <c r="AC276" s="16"/>
      <c r="AD276" s="16"/>
      <c r="AE276" s="84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</row>
    <row r="277" spans="26:44">
      <c r="Z277" s="16"/>
      <c r="AA277" s="16"/>
      <c r="AB277" s="16"/>
      <c r="AC277" s="16"/>
      <c r="AD277" s="16"/>
      <c r="AE277" s="84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</row>
    <row r="278" spans="26:44">
      <c r="Z278" s="16"/>
      <c r="AA278" s="16"/>
      <c r="AB278" s="16"/>
      <c r="AC278" s="16"/>
      <c r="AD278" s="16"/>
      <c r="AE278" s="84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</row>
    <row r="279" spans="26:44">
      <c r="Z279" s="16"/>
      <c r="AA279" s="16"/>
      <c r="AB279" s="16"/>
      <c r="AC279" s="16"/>
      <c r="AD279" s="16"/>
      <c r="AE279" s="84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</row>
    <row r="280" spans="26:44">
      <c r="Z280" s="16"/>
      <c r="AA280" s="16"/>
      <c r="AB280" s="16"/>
      <c r="AC280" s="16"/>
      <c r="AD280" s="16"/>
      <c r="AE280" s="84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</row>
    <row r="281" spans="26:44">
      <c r="Z281" s="16"/>
      <c r="AA281" s="16"/>
      <c r="AB281" s="16"/>
      <c r="AC281" s="16"/>
      <c r="AD281" s="16"/>
      <c r="AE281" s="84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</row>
    <row r="282" spans="26:44">
      <c r="Z282" s="16"/>
      <c r="AA282" s="16"/>
      <c r="AB282" s="16"/>
      <c r="AC282" s="16"/>
      <c r="AD282" s="16"/>
      <c r="AE282" s="84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</row>
    <row r="283" spans="26:44">
      <c r="Z283" s="16"/>
      <c r="AA283" s="16"/>
      <c r="AB283" s="16"/>
      <c r="AC283" s="16"/>
      <c r="AD283" s="16"/>
      <c r="AE283" s="84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</row>
    <row r="284" spans="26:44">
      <c r="Z284" s="16"/>
      <c r="AA284" s="16"/>
      <c r="AB284" s="16"/>
      <c r="AC284" s="16"/>
      <c r="AD284" s="16"/>
      <c r="AE284" s="84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</row>
    <row r="285" spans="26:44">
      <c r="Z285" s="16"/>
      <c r="AA285" s="16"/>
      <c r="AB285" s="16"/>
      <c r="AC285" s="16"/>
      <c r="AD285" s="16"/>
      <c r="AE285" s="84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</row>
    <row r="286" spans="26:44">
      <c r="Z286" s="16"/>
      <c r="AA286" s="16"/>
      <c r="AB286" s="16"/>
      <c r="AC286" s="16"/>
      <c r="AD286" s="16"/>
      <c r="AE286" s="84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</row>
    <row r="287" spans="26:44">
      <c r="Z287" s="16"/>
      <c r="AA287" s="16"/>
      <c r="AB287" s="16"/>
      <c r="AC287" s="16"/>
      <c r="AD287" s="16"/>
      <c r="AE287" s="84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</row>
    <row r="288" spans="26:44">
      <c r="Z288" s="16"/>
      <c r="AA288" s="16"/>
      <c r="AB288" s="16"/>
      <c r="AC288" s="16"/>
      <c r="AD288" s="16"/>
      <c r="AE288" s="84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</row>
    <row r="289" spans="26:44">
      <c r="Z289" s="16"/>
      <c r="AA289" s="16"/>
      <c r="AB289" s="16"/>
      <c r="AC289" s="16"/>
      <c r="AD289" s="16"/>
      <c r="AE289" s="84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</row>
  </sheetData>
  <autoFilter ref="A11:AW55"/>
  <mergeCells count="26">
    <mergeCell ref="Z10:Z11"/>
    <mergeCell ref="AA10:AA11"/>
    <mergeCell ref="AB10:AB11"/>
    <mergeCell ref="AC10:AC11"/>
    <mergeCell ref="H6:R6"/>
    <mergeCell ref="H7:N7"/>
    <mergeCell ref="P7:R7"/>
    <mergeCell ref="T10:T11"/>
    <mergeCell ref="U10:U11"/>
    <mergeCell ref="V10:V11"/>
    <mergeCell ref="AO10:AO11"/>
    <mergeCell ref="AP10:AP11"/>
    <mergeCell ref="AQ10:AR10"/>
    <mergeCell ref="AS10:AS11"/>
    <mergeCell ref="T57:U57"/>
    <mergeCell ref="AJ10:AJ11"/>
    <mergeCell ref="AK10:AK11"/>
    <mergeCell ref="AL10:AL11"/>
    <mergeCell ref="AM10:AM11"/>
    <mergeCell ref="AN10:AN11"/>
    <mergeCell ref="AD10:AD11"/>
    <mergeCell ref="AF10:AF11"/>
    <mergeCell ref="AG10:AG11"/>
    <mergeCell ref="AH10:AH11"/>
    <mergeCell ref="AI10:AI11"/>
    <mergeCell ref="X10:X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8"/>
  <sheetViews>
    <sheetView workbookViewId="0">
      <pane xSplit="2" ySplit="11" topLeftCell="G60" activePane="bottomRight" state="frozen"/>
      <selection pane="topRight" activeCell="C1" sqref="C1"/>
      <selection pane="bottomLeft" activeCell="A12" sqref="A12"/>
      <selection pane="bottomRight" activeCell="J75" sqref="J75"/>
    </sheetView>
  </sheetViews>
  <sheetFormatPr baseColWidth="10" defaultRowHeight="15"/>
  <cols>
    <col min="1" max="1" width="11.42578125" style="143"/>
    <col min="2" max="2" width="31.140625" style="143" bestFit="1" customWidth="1"/>
    <col min="3" max="18" width="11.42578125" style="143"/>
    <col min="19" max="19" width="31.140625" style="143" bestFit="1" customWidth="1"/>
    <col min="20" max="16384" width="11.42578125" style="143"/>
  </cols>
  <sheetData>
    <row r="1" spans="1:19">
      <c r="A1" s="146" t="s">
        <v>160</v>
      </c>
      <c r="B1" s="242" t="s">
        <v>161</v>
      </c>
      <c r="C1" s="243"/>
    </row>
    <row r="2" spans="1:19" ht="18">
      <c r="A2" s="147" t="s">
        <v>162</v>
      </c>
      <c r="B2" s="181" t="s">
        <v>163</v>
      </c>
      <c r="C2" s="167"/>
    </row>
    <row r="3" spans="1:19" ht="15.75">
      <c r="B3" s="182" t="s">
        <v>164</v>
      </c>
      <c r="C3" s="149"/>
      <c r="D3" s="152"/>
    </row>
    <row r="4" spans="1:19">
      <c r="B4" s="183" t="s">
        <v>165</v>
      </c>
      <c r="C4" s="149"/>
      <c r="D4" s="152"/>
    </row>
    <row r="5" spans="1:19">
      <c r="B5" s="151" t="s">
        <v>166</v>
      </c>
      <c r="C5" s="180"/>
    </row>
    <row r="6" spans="1:19">
      <c r="B6" s="151" t="s">
        <v>167</v>
      </c>
      <c r="C6" s="180"/>
    </row>
    <row r="8" spans="1:19" s="167" customFormat="1" ht="34.5" thickBot="1">
      <c r="A8" s="142" t="s">
        <v>168</v>
      </c>
      <c r="B8" s="164" t="s">
        <v>169</v>
      </c>
      <c r="C8" s="164" t="s">
        <v>170</v>
      </c>
      <c r="D8" s="164" t="s">
        <v>303</v>
      </c>
      <c r="E8" s="164" t="s">
        <v>304</v>
      </c>
      <c r="F8" s="165" t="s">
        <v>171</v>
      </c>
      <c r="G8" s="164" t="s">
        <v>172</v>
      </c>
      <c r="H8" s="164" t="s">
        <v>173</v>
      </c>
      <c r="I8" s="164" t="s">
        <v>174</v>
      </c>
      <c r="J8" s="164" t="s">
        <v>305</v>
      </c>
      <c r="K8" s="164" t="s">
        <v>306</v>
      </c>
      <c r="L8" s="164" t="s">
        <v>175</v>
      </c>
      <c r="M8" s="164" t="s">
        <v>307</v>
      </c>
      <c r="N8" s="164" t="s">
        <v>15</v>
      </c>
      <c r="O8" s="165" t="s">
        <v>176</v>
      </c>
      <c r="P8" s="166" t="s">
        <v>177</v>
      </c>
    </row>
    <row r="9" spans="1:19" ht="15.75" thickTop="1">
      <c r="A9" s="122" t="s">
        <v>178</v>
      </c>
    </row>
    <row r="11" spans="1:19">
      <c r="A11" s="156" t="s">
        <v>179</v>
      </c>
    </row>
    <row r="12" spans="1:19">
      <c r="A12" s="145" t="s">
        <v>180</v>
      </c>
      <c r="B12" s="144" t="s">
        <v>181</v>
      </c>
      <c r="C12" s="157">
        <v>2750.1</v>
      </c>
      <c r="D12" s="157">
        <v>0</v>
      </c>
      <c r="E12" s="157">
        <v>0</v>
      </c>
      <c r="F12" s="157">
        <v>2750.1</v>
      </c>
      <c r="G12" s="157">
        <v>0</v>
      </c>
      <c r="H12" s="157">
        <v>49.79</v>
      </c>
      <c r="I12" s="157">
        <v>68.28</v>
      </c>
      <c r="J12" s="157">
        <v>0</v>
      </c>
      <c r="K12" s="157">
        <v>45.13</v>
      </c>
      <c r="L12" s="157">
        <v>0.1</v>
      </c>
      <c r="M12" s="157">
        <v>0</v>
      </c>
      <c r="N12" s="157">
        <v>0</v>
      </c>
      <c r="O12" s="157">
        <v>163.30000000000001</v>
      </c>
      <c r="P12" s="157">
        <v>2586.8000000000002</v>
      </c>
      <c r="Q12" s="143" t="str">
        <f>IF(B12=S12,"SI","NO")</f>
        <v>SI</v>
      </c>
      <c r="R12" s="145" t="s">
        <v>180</v>
      </c>
      <c r="S12" s="144" t="s">
        <v>181</v>
      </c>
    </row>
    <row r="13" spans="1:19">
      <c r="A13" s="145" t="s">
        <v>182</v>
      </c>
      <c r="B13" s="144" t="s">
        <v>183</v>
      </c>
      <c r="C13" s="157">
        <v>3250.05</v>
      </c>
      <c r="D13" s="157">
        <v>0</v>
      </c>
      <c r="E13" s="157">
        <v>0</v>
      </c>
      <c r="F13" s="157">
        <v>3250.05</v>
      </c>
      <c r="G13" s="157">
        <v>0</v>
      </c>
      <c r="H13" s="157">
        <v>124.46</v>
      </c>
      <c r="I13" s="157">
        <v>81.62</v>
      </c>
      <c r="J13" s="157">
        <v>0</v>
      </c>
      <c r="K13" s="157">
        <v>45.13</v>
      </c>
      <c r="L13" s="157">
        <v>0.04</v>
      </c>
      <c r="M13" s="157">
        <v>0</v>
      </c>
      <c r="N13" s="157">
        <v>0</v>
      </c>
      <c r="O13" s="157">
        <v>251.25</v>
      </c>
      <c r="P13" s="157">
        <v>2998.8</v>
      </c>
      <c r="Q13" s="143" t="str">
        <f t="shared" ref="Q13:Q55" si="0">IF(B13=S13,"SI","NO")</f>
        <v>SI</v>
      </c>
      <c r="R13" s="145" t="s">
        <v>182</v>
      </c>
      <c r="S13" s="144" t="s">
        <v>183</v>
      </c>
    </row>
    <row r="14" spans="1:19">
      <c r="A14" s="145" t="s">
        <v>184</v>
      </c>
      <c r="B14" s="144" t="s">
        <v>185</v>
      </c>
      <c r="C14" s="157">
        <v>2500.0500000000002</v>
      </c>
      <c r="D14" s="157">
        <v>0</v>
      </c>
      <c r="E14" s="157">
        <v>0</v>
      </c>
      <c r="F14" s="157">
        <v>2500.0500000000002</v>
      </c>
      <c r="G14" s="157">
        <v>0</v>
      </c>
      <c r="H14" s="157">
        <v>7.67</v>
      </c>
      <c r="I14" s="157">
        <v>62.06</v>
      </c>
      <c r="J14" s="157">
        <v>0</v>
      </c>
      <c r="K14" s="157">
        <v>45.13</v>
      </c>
      <c r="L14" s="158">
        <v>-0.01</v>
      </c>
      <c r="M14" s="157">
        <v>0</v>
      </c>
      <c r="N14" s="157">
        <v>0</v>
      </c>
      <c r="O14" s="157">
        <v>114.85</v>
      </c>
      <c r="P14" s="157">
        <v>2385.1999999999998</v>
      </c>
      <c r="Q14" s="143" t="str">
        <f t="shared" si="0"/>
        <v>SI</v>
      </c>
      <c r="R14" s="145" t="s">
        <v>184</v>
      </c>
      <c r="S14" s="144" t="s">
        <v>185</v>
      </c>
    </row>
    <row r="15" spans="1:19">
      <c r="A15" s="145" t="s">
        <v>186</v>
      </c>
      <c r="B15" s="144" t="s">
        <v>187</v>
      </c>
      <c r="C15" s="157">
        <v>3000</v>
      </c>
      <c r="D15" s="157">
        <v>0</v>
      </c>
      <c r="E15" s="157">
        <v>0</v>
      </c>
      <c r="F15" s="157">
        <v>3000</v>
      </c>
      <c r="G15" s="157">
        <v>0</v>
      </c>
      <c r="H15" s="157">
        <v>76.98</v>
      </c>
      <c r="I15" s="157">
        <v>74.56</v>
      </c>
      <c r="J15" s="157">
        <v>910</v>
      </c>
      <c r="K15" s="157">
        <v>45.13</v>
      </c>
      <c r="L15" s="157">
        <v>0.13</v>
      </c>
      <c r="M15" s="157">
        <v>0</v>
      </c>
      <c r="N15" s="157">
        <v>0</v>
      </c>
      <c r="O15" s="157">
        <v>1106.8</v>
      </c>
      <c r="P15" s="157">
        <v>1893.2</v>
      </c>
      <c r="Q15" s="143" t="str">
        <f t="shared" si="0"/>
        <v>SI</v>
      </c>
      <c r="R15" s="145" t="s">
        <v>186</v>
      </c>
      <c r="S15" s="144" t="s">
        <v>187</v>
      </c>
    </row>
    <row r="16" spans="1:19">
      <c r="A16" s="145" t="s">
        <v>188</v>
      </c>
      <c r="B16" s="144" t="s">
        <v>189</v>
      </c>
      <c r="C16" s="157">
        <v>2500.0500000000002</v>
      </c>
      <c r="D16" s="157">
        <v>0</v>
      </c>
      <c r="E16" s="157">
        <v>0</v>
      </c>
      <c r="F16" s="157">
        <v>2500.0500000000002</v>
      </c>
      <c r="G16" s="157">
        <v>0</v>
      </c>
      <c r="H16" s="157">
        <v>7.67</v>
      </c>
      <c r="I16" s="157">
        <v>62.06</v>
      </c>
      <c r="J16" s="157">
        <v>0</v>
      </c>
      <c r="K16" s="157">
        <v>45.13</v>
      </c>
      <c r="L16" s="158">
        <v>-0.01</v>
      </c>
      <c r="M16" s="157">
        <v>0</v>
      </c>
      <c r="N16" s="157">
        <v>0</v>
      </c>
      <c r="O16" s="157">
        <v>114.85</v>
      </c>
      <c r="P16" s="157">
        <v>2385.1999999999998</v>
      </c>
      <c r="Q16" s="143" t="str">
        <f t="shared" si="0"/>
        <v>SI</v>
      </c>
      <c r="R16" s="145" t="s">
        <v>188</v>
      </c>
      <c r="S16" s="144" t="s">
        <v>189</v>
      </c>
    </row>
    <row r="17" spans="1:19">
      <c r="A17" s="145" t="s">
        <v>190</v>
      </c>
      <c r="B17" s="144" t="s">
        <v>191</v>
      </c>
      <c r="C17" s="157">
        <v>6500.1</v>
      </c>
      <c r="D17" s="157">
        <v>0</v>
      </c>
      <c r="E17" s="157">
        <v>0</v>
      </c>
      <c r="F17" s="157">
        <v>6500.1</v>
      </c>
      <c r="G17" s="157">
        <v>0</v>
      </c>
      <c r="H17" s="157">
        <v>841.16</v>
      </c>
      <c r="I17" s="157">
        <v>175.38</v>
      </c>
      <c r="J17" s="157">
        <v>0</v>
      </c>
      <c r="K17" s="157">
        <v>45.13</v>
      </c>
      <c r="L17" s="157">
        <v>0.03</v>
      </c>
      <c r="M17" s="157">
        <v>0</v>
      </c>
      <c r="N17" s="157">
        <v>180</v>
      </c>
      <c r="O17" s="157">
        <v>1241.7</v>
      </c>
      <c r="P17" s="157">
        <v>5258.4</v>
      </c>
      <c r="Q17" s="143" t="str">
        <f t="shared" si="0"/>
        <v>SI</v>
      </c>
      <c r="R17" s="145" t="s">
        <v>190</v>
      </c>
      <c r="S17" s="144" t="s">
        <v>191</v>
      </c>
    </row>
    <row r="18" spans="1:19">
      <c r="A18" s="145" t="s">
        <v>192</v>
      </c>
      <c r="B18" s="144" t="s">
        <v>193</v>
      </c>
      <c r="C18" s="157">
        <v>2800.05</v>
      </c>
      <c r="D18" s="157">
        <v>0</v>
      </c>
      <c r="E18" s="157">
        <v>0</v>
      </c>
      <c r="F18" s="157">
        <v>2800.05</v>
      </c>
      <c r="G18" s="157">
        <v>0</v>
      </c>
      <c r="H18" s="157">
        <v>55.23</v>
      </c>
      <c r="I18" s="157">
        <v>69.69</v>
      </c>
      <c r="J18" s="157">
        <v>0</v>
      </c>
      <c r="K18" s="157">
        <v>45.13</v>
      </c>
      <c r="L18" s="157">
        <v>0</v>
      </c>
      <c r="M18" s="157">
        <v>0</v>
      </c>
      <c r="N18" s="157">
        <v>0</v>
      </c>
      <c r="O18" s="157">
        <v>170.05</v>
      </c>
      <c r="P18" s="157">
        <v>2630</v>
      </c>
      <c r="Q18" s="143" t="str">
        <f t="shared" si="0"/>
        <v>SI</v>
      </c>
      <c r="R18" s="145" t="s">
        <v>192</v>
      </c>
      <c r="S18" s="144" t="s">
        <v>193</v>
      </c>
    </row>
    <row r="19" spans="1:19">
      <c r="A19" s="145" t="s">
        <v>194</v>
      </c>
      <c r="B19" s="144" t="s">
        <v>195</v>
      </c>
      <c r="C19" s="157">
        <v>5868.75</v>
      </c>
      <c r="D19" s="157">
        <v>0</v>
      </c>
      <c r="E19" s="157">
        <v>0</v>
      </c>
      <c r="F19" s="157">
        <v>5868.75</v>
      </c>
      <c r="G19" s="157">
        <v>0</v>
      </c>
      <c r="H19" s="157">
        <v>706.3</v>
      </c>
      <c r="I19" s="157">
        <v>157.08000000000001</v>
      </c>
      <c r="J19" s="157">
        <v>0</v>
      </c>
      <c r="K19" s="157">
        <v>45.13</v>
      </c>
      <c r="L19" s="157">
        <v>0.04</v>
      </c>
      <c r="M19" s="157">
        <v>0</v>
      </c>
      <c r="N19" s="157">
        <v>0</v>
      </c>
      <c r="O19" s="157">
        <v>908.55</v>
      </c>
      <c r="P19" s="157">
        <v>4960.2</v>
      </c>
      <c r="Q19" s="143" t="str">
        <f t="shared" si="0"/>
        <v>SI</v>
      </c>
      <c r="R19" s="145" t="s">
        <v>194</v>
      </c>
      <c r="S19" s="144" t="s">
        <v>195</v>
      </c>
    </row>
    <row r="20" spans="1:19">
      <c r="A20" s="145" t="s">
        <v>196</v>
      </c>
      <c r="B20" s="144" t="s">
        <v>197</v>
      </c>
      <c r="C20" s="157">
        <v>2800.05</v>
      </c>
      <c r="D20" s="157">
        <v>0</v>
      </c>
      <c r="E20" s="157">
        <v>0</v>
      </c>
      <c r="F20" s="157">
        <v>2800.05</v>
      </c>
      <c r="G20" s="157">
        <v>0</v>
      </c>
      <c r="H20" s="157">
        <v>55.23</v>
      </c>
      <c r="I20" s="157">
        <v>69.78</v>
      </c>
      <c r="J20" s="157">
        <v>0</v>
      </c>
      <c r="K20" s="157">
        <v>45.13</v>
      </c>
      <c r="L20" s="158">
        <v>-0.09</v>
      </c>
      <c r="M20" s="157">
        <v>0</v>
      </c>
      <c r="N20" s="157">
        <v>0</v>
      </c>
      <c r="O20" s="157">
        <v>170.05</v>
      </c>
      <c r="P20" s="157">
        <v>2630</v>
      </c>
      <c r="Q20" s="143" t="str">
        <f t="shared" si="0"/>
        <v>SI</v>
      </c>
      <c r="R20" s="145" t="s">
        <v>196</v>
      </c>
      <c r="S20" s="144" t="s">
        <v>197</v>
      </c>
    </row>
    <row r="21" spans="1:19">
      <c r="A21" s="145" t="s">
        <v>198</v>
      </c>
      <c r="B21" s="144" t="s">
        <v>199</v>
      </c>
      <c r="C21" s="157">
        <v>10000.049999999999</v>
      </c>
      <c r="D21" s="157">
        <v>0</v>
      </c>
      <c r="E21" s="157">
        <v>0</v>
      </c>
      <c r="F21" s="157">
        <v>10000.049999999999</v>
      </c>
      <c r="G21" s="157">
        <v>0</v>
      </c>
      <c r="H21" s="157">
        <v>1588.75</v>
      </c>
      <c r="I21" s="157">
        <v>276.91000000000003</v>
      </c>
      <c r="J21" s="157">
        <v>0</v>
      </c>
      <c r="K21" s="157">
        <v>45.13</v>
      </c>
      <c r="L21" s="157">
        <v>0.06</v>
      </c>
      <c r="M21" s="157">
        <v>0</v>
      </c>
      <c r="N21" s="157">
        <v>0</v>
      </c>
      <c r="O21" s="157">
        <v>1910.85</v>
      </c>
      <c r="P21" s="157">
        <v>8089.2</v>
      </c>
      <c r="Q21" s="143" t="str">
        <f t="shared" si="0"/>
        <v>SI</v>
      </c>
      <c r="R21" s="145" t="s">
        <v>198</v>
      </c>
      <c r="S21" s="144" t="s">
        <v>199</v>
      </c>
    </row>
    <row r="22" spans="1:19">
      <c r="A22" s="145" t="s">
        <v>200</v>
      </c>
      <c r="B22" s="144" t="s">
        <v>201</v>
      </c>
      <c r="C22" s="157">
        <v>3250.05</v>
      </c>
      <c r="D22" s="157">
        <v>0</v>
      </c>
      <c r="E22" s="157">
        <v>0</v>
      </c>
      <c r="F22" s="157">
        <v>3250.05</v>
      </c>
      <c r="G22" s="157">
        <v>0</v>
      </c>
      <c r="H22" s="157">
        <v>124.46</v>
      </c>
      <c r="I22" s="157">
        <v>81.12</v>
      </c>
      <c r="J22" s="157">
        <v>0</v>
      </c>
      <c r="K22" s="157">
        <v>45.13</v>
      </c>
      <c r="L22" s="158">
        <v>-0.06</v>
      </c>
      <c r="M22" s="157">
        <v>0</v>
      </c>
      <c r="N22" s="157">
        <v>0</v>
      </c>
      <c r="O22" s="157">
        <v>250.65</v>
      </c>
      <c r="P22" s="157">
        <v>2999.4</v>
      </c>
      <c r="Q22" s="143" t="str">
        <f t="shared" si="0"/>
        <v>SI</v>
      </c>
      <c r="R22" s="145" t="s">
        <v>200</v>
      </c>
      <c r="S22" s="144" t="s">
        <v>201</v>
      </c>
    </row>
    <row r="23" spans="1:19">
      <c r="A23" s="145" t="s">
        <v>202</v>
      </c>
      <c r="B23" s="144" t="s">
        <v>203</v>
      </c>
      <c r="C23" s="157">
        <v>3250.05</v>
      </c>
      <c r="D23" s="157">
        <v>0</v>
      </c>
      <c r="E23" s="157">
        <v>0</v>
      </c>
      <c r="F23" s="157">
        <v>3250.05</v>
      </c>
      <c r="G23" s="157">
        <v>0</v>
      </c>
      <c r="H23" s="157">
        <v>124.46</v>
      </c>
      <c r="I23" s="157">
        <v>81.12</v>
      </c>
      <c r="J23" s="157">
        <v>1000</v>
      </c>
      <c r="K23" s="157">
        <v>45.13</v>
      </c>
      <c r="L23" s="158">
        <v>-0.06</v>
      </c>
      <c r="M23" s="157">
        <v>0</v>
      </c>
      <c r="N23" s="157">
        <v>0</v>
      </c>
      <c r="O23" s="157">
        <v>1250.6500000000001</v>
      </c>
      <c r="P23" s="157">
        <v>1999.4</v>
      </c>
      <c r="Q23" s="143" t="str">
        <f t="shared" si="0"/>
        <v>SI</v>
      </c>
      <c r="R23" s="145" t="s">
        <v>202</v>
      </c>
      <c r="S23" s="144" t="s">
        <v>203</v>
      </c>
    </row>
    <row r="24" spans="1:19">
      <c r="A24" s="145" t="s">
        <v>204</v>
      </c>
      <c r="B24" s="144" t="s">
        <v>205</v>
      </c>
      <c r="C24" s="157">
        <v>15000</v>
      </c>
      <c r="D24" s="157">
        <v>0</v>
      </c>
      <c r="E24" s="157">
        <v>0</v>
      </c>
      <c r="F24" s="157">
        <v>15000</v>
      </c>
      <c r="G24" s="157">
        <v>0</v>
      </c>
      <c r="H24" s="157">
        <v>2759.37</v>
      </c>
      <c r="I24" s="157">
        <v>424.77</v>
      </c>
      <c r="J24" s="157">
        <v>770</v>
      </c>
      <c r="K24" s="157">
        <v>45.13</v>
      </c>
      <c r="L24" s="158">
        <v>-7.0000000000000007E-2</v>
      </c>
      <c r="M24" s="157">
        <v>0</v>
      </c>
      <c r="N24" s="157">
        <v>1575</v>
      </c>
      <c r="O24" s="157">
        <v>5574.2</v>
      </c>
      <c r="P24" s="157">
        <v>9425.7999999999993</v>
      </c>
      <c r="Q24" s="143" t="str">
        <f t="shared" si="0"/>
        <v>SI</v>
      </c>
      <c r="R24" s="145" t="s">
        <v>204</v>
      </c>
      <c r="S24" s="144" t="s">
        <v>205</v>
      </c>
    </row>
    <row r="25" spans="1:19">
      <c r="A25" s="145" t="s">
        <v>206</v>
      </c>
      <c r="B25" s="144" t="s">
        <v>207</v>
      </c>
      <c r="C25" s="157">
        <v>3250.05</v>
      </c>
      <c r="D25" s="157">
        <v>0</v>
      </c>
      <c r="E25" s="157">
        <v>0</v>
      </c>
      <c r="F25" s="157">
        <v>3250.05</v>
      </c>
      <c r="G25" s="157">
        <v>0</v>
      </c>
      <c r="H25" s="157">
        <v>124.46</v>
      </c>
      <c r="I25" s="157">
        <v>81.25</v>
      </c>
      <c r="J25" s="157">
        <v>1800</v>
      </c>
      <c r="K25" s="157">
        <v>0</v>
      </c>
      <c r="L25" s="158">
        <v>-0.06</v>
      </c>
      <c r="M25" s="157">
        <v>0</v>
      </c>
      <c r="N25" s="157">
        <v>0</v>
      </c>
      <c r="O25" s="157">
        <v>2005.65</v>
      </c>
      <c r="P25" s="157">
        <v>1244.4000000000001</v>
      </c>
      <c r="Q25" s="143" t="str">
        <f t="shared" si="0"/>
        <v>SI</v>
      </c>
      <c r="R25" s="145" t="s">
        <v>206</v>
      </c>
      <c r="S25" s="144" t="s">
        <v>207</v>
      </c>
    </row>
    <row r="26" spans="1:19">
      <c r="A26" s="145" t="s">
        <v>208</v>
      </c>
      <c r="B26" s="144" t="s">
        <v>209</v>
      </c>
      <c r="C26" s="157">
        <v>2500.0500000000002</v>
      </c>
      <c r="D26" s="157">
        <v>0</v>
      </c>
      <c r="E26" s="157">
        <v>0</v>
      </c>
      <c r="F26" s="157">
        <v>2500.0500000000002</v>
      </c>
      <c r="G26" s="157">
        <v>0</v>
      </c>
      <c r="H26" s="157">
        <v>7.67</v>
      </c>
      <c r="I26" s="157">
        <v>74.98</v>
      </c>
      <c r="J26" s="157">
        <v>0</v>
      </c>
      <c r="K26" s="157">
        <v>45.13</v>
      </c>
      <c r="L26" s="157">
        <v>7.0000000000000007E-2</v>
      </c>
      <c r="M26" s="157">
        <v>0</v>
      </c>
      <c r="N26" s="157">
        <v>0</v>
      </c>
      <c r="O26" s="157">
        <v>127.85</v>
      </c>
      <c r="P26" s="157">
        <v>2372.1999999999998</v>
      </c>
      <c r="Q26" s="143" t="str">
        <f t="shared" si="0"/>
        <v>SI</v>
      </c>
      <c r="R26" s="145" t="s">
        <v>208</v>
      </c>
      <c r="S26" s="144" t="s">
        <v>209</v>
      </c>
    </row>
    <row r="27" spans="1:19">
      <c r="A27" s="145" t="s">
        <v>210</v>
      </c>
      <c r="B27" s="144" t="s">
        <v>211</v>
      </c>
      <c r="C27" s="157">
        <v>2500.0500000000002</v>
      </c>
      <c r="D27" s="157">
        <v>0</v>
      </c>
      <c r="E27" s="157">
        <v>0</v>
      </c>
      <c r="F27" s="157">
        <v>2500.0500000000002</v>
      </c>
      <c r="G27" s="157">
        <v>0</v>
      </c>
      <c r="H27" s="157">
        <v>7.67</v>
      </c>
      <c r="I27" s="157">
        <v>62.14</v>
      </c>
      <c r="J27" s="157">
        <v>1000</v>
      </c>
      <c r="K27" s="157">
        <v>45.13</v>
      </c>
      <c r="L27" s="157">
        <v>0.11</v>
      </c>
      <c r="M27" s="157">
        <v>0</v>
      </c>
      <c r="N27" s="157">
        <v>0</v>
      </c>
      <c r="O27" s="157">
        <v>1115.05</v>
      </c>
      <c r="P27" s="157">
        <v>1385</v>
      </c>
      <c r="Q27" s="143" t="str">
        <f t="shared" si="0"/>
        <v>SI</v>
      </c>
      <c r="R27" s="145" t="s">
        <v>210</v>
      </c>
      <c r="S27" s="144" t="s">
        <v>211</v>
      </c>
    </row>
    <row r="28" spans="1:19">
      <c r="A28" s="145" t="s">
        <v>212</v>
      </c>
      <c r="B28" s="144" t="s">
        <v>213</v>
      </c>
      <c r="C28" s="157">
        <v>20000.099999999999</v>
      </c>
      <c r="D28" s="157">
        <v>0</v>
      </c>
      <c r="E28" s="157">
        <v>0</v>
      </c>
      <c r="F28" s="157">
        <v>20000.099999999999</v>
      </c>
      <c r="G28" s="157">
        <v>0</v>
      </c>
      <c r="H28" s="157">
        <v>4184.68</v>
      </c>
      <c r="I28" s="157">
        <v>566.94000000000005</v>
      </c>
      <c r="J28" s="157">
        <v>0</v>
      </c>
      <c r="K28" s="157">
        <v>45.13</v>
      </c>
      <c r="L28" s="158">
        <v>-0.05</v>
      </c>
      <c r="M28" s="157">
        <v>0</v>
      </c>
      <c r="N28" s="157">
        <v>0</v>
      </c>
      <c r="O28" s="157">
        <v>4796.7</v>
      </c>
      <c r="P28" s="157">
        <v>15203.4</v>
      </c>
      <c r="Q28" s="143" t="str">
        <f t="shared" si="0"/>
        <v>SI</v>
      </c>
      <c r="R28" s="145" t="s">
        <v>212</v>
      </c>
      <c r="S28" s="144" t="s">
        <v>213</v>
      </c>
    </row>
    <row r="29" spans="1:19">
      <c r="A29" s="145" t="s">
        <v>214</v>
      </c>
      <c r="B29" s="144" t="s">
        <v>215</v>
      </c>
      <c r="C29" s="157">
        <v>2500.0500000000002</v>
      </c>
      <c r="D29" s="157">
        <v>0</v>
      </c>
      <c r="E29" s="157">
        <v>0</v>
      </c>
      <c r="F29" s="157">
        <v>2500.0500000000002</v>
      </c>
      <c r="G29" s="157">
        <v>0</v>
      </c>
      <c r="H29" s="157">
        <v>7.67</v>
      </c>
      <c r="I29" s="157">
        <v>62.06</v>
      </c>
      <c r="J29" s="157">
        <v>0</v>
      </c>
      <c r="K29" s="157">
        <v>45.13</v>
      </c>
      <c r="L29" s="158">
        <v>-0.01</v>
      </c>
      <c r="M29" s="157">
        <v>0</v>
      </c>
      <c r="N29" s="157">
        <v>0</v>
      </c>
      <c r="O29" s="157">
        <v>114.85</v>
      </c>
      <c r="P29" s="157">
        <v>2385.1999999999998</v>
      </c>
      <c r="Q29" s="143" t="str">
        <f t="shared" si="0"/>
        <v>SI</v>
      </c>
      <c r="R29" s="145" t="s">
        <v>214</v>
      </c>
      <c r="S29" s="144" t="s">
        <v>215</v>
      </c>
    </row>
    <row r="30" spans="1:19">
      <c r="A30" s="145" t="s">
        <v>216</v>
      </c>
      <c r="B30" s="144" t="s">
        <v>217</v>
      </c>
      <c r="C30" s="157">
        <v>10000.049999999999</v>
      </c>
      <c r="D30" s="157">
        <v>0</v>
      </c>
      <c r="E30" s="157">
        <v>0</v>
      </c>
      <c r="F30" s="157">
        <v>10000.049999999999</v>
      </c>
      <c r="G30" s="157">
        <v>0</v>
      </c>
      <c r="H30" s="157">
        <v>1588.75</v>
      </c>
      <c r="I30" s="157">
        <v>278.42</v>
      </c>
      <c r="J30" s="157">
        <v>323.91000000000003</v>
      </c>
      <c r="K30" s="157">
        <v>45.13</v>
      </c>
      <c r="L30" s="158">
        <v>-0.16</v>
      </c>
      <c r="M30" s="157">
        <v>0</v>
      </c>
      <c r="N30" s="157">
        <v>0</v>
      </c>
      <c r="O30" s="157">
        <v>2236.0500000000002</v>
      </c>
      <c r="P30" s="157">
        <v>7764</v>
      </c>
      <c r="Q30" s="143" t="str">
        <f t="shared" si="0"/>
        <v>SI</v>
      </c>
      <c r="R30" s="145" t="s">
        <v>216</v>
      </c>
      <c r="S30" s="144" t="s">
        <v>217</v>
      </c>
    </row>
    <row r="31" spans="1:19">
      <c r="A31" s="145" t="s">
        <v>218</v>
      </c>
      <c r="B31" s="144" t="s">
        <v>219</v>
      </c>
      <c r="C31" s="157">
        <v>7500</v>
      </c>
      <c r="D31" s="157">
        <v>0</v>
      </c>
      <c r="E31" s="157">
        <v>0</v>
      </c>
      <c r="F31" s="157">
        <v>7500</v>
      </c>
      <c r="G31" s="157">
        <v>0</v>
      </c>
      <c r="H31" s="157">
        <v>1054.74</v>
      </c>
      <c r="I31" s="157">
        <v>205.52</v>
      </c>
      <c r="J31" s="157">
        <v>1500</v>
      </c>
      <c r="K31" s="157">
        <v>45.13</v>
      </c>
      <c r="L31" s="157">
        <v>0.01</v>
      </c>
      <c r="M31" s="157">
        <v>0</v>
      </c>
      <c r="N31" s="157">
        <v>0</v>
      </c>
      <c r="O31" s="157">
        <v>2805.4</v>
      </c>
      <c r="P31" s="157">
        <v>4694.6000000000004</v>
      </c>
      <c r="Q31" s="143" t="str">
        <f t="shared" si="0"/>
        <v>SI</v>
      </c>
      <c r="R31" s="145" t="s">
        <v>218</v>
      </c>
      <c r="S31" s="144" t="s">
        <v>219</v>
      </c>
    </row>
    <row r="32" spans="1:19">
      <c r="A32" s="145" t="s">
        <v>220</v>
      </c>
      <c r="B32" s="144" t="s">
        <v>221</v>
      </c>
      <c r="C32" s="157">
        <v>3750</v>
      </c>
      <c r="D32" s="157">
        <v>0</v>
      </c>
      <c r="E32" s="157">
        <v>0</v>
      </c>
      <c r="F32" s="157">
        <v>3750</v>
      </c>
      <c r="G32" s="157">
        <v>0</v>
      </c>
      <c r="H32" s="157">
        <v>309.02999999999997</v>
      </c>
      <c r="I32" s="157">
        <v>95.62</v>
      </c>
      <c r="J32" s="157">
        <v>0</v>
      </c>
      <c r="K32" s="157">
        <v>45.13</v>
      </c>
      <c r="L32" s="157">
        <v>0.02</v>
      </c>
      <c r="M32" s="157">
        <v>0</v>
      </c>
      <c r="N32" s="157">
        <v>0</v>
      </c>
      <c r="O32" s="157">
        <v>449.8</v>
      </c>
      <c r="P32" s="157">
        <v>3300.2</v>
      </c>
      <c r="Q32" s="143" t="str">
        <f t="shared" si="0"/>
        <v>SI</v>
      </c>
      <c r="R32" s="145" t="s">
        <v>220</v>
      </c>
      <c r="S32" s="144" t="s">
        <v>221</v>
      </c>
    </row>
    <row r="33" spans="1:19">
      <c r="A33" s="145" t="s">
        <v>222</v>
      </c>
      <c r="B33" s="144" t="s">
        <v>223</v>
      </c>
      <c r="C33" s="157">
        <v>2500.0500000000002</v>
      </c>
      <c r="D33" s="157">
        <v>0</v>
      </c>
      <c r="E33" s="157">
        <v>0</v>
      </c>
      <c r="F33" s="157">
        <v>2500.0500000000002</v>
      </c>
      <c r="G33" s="157">
        <v>0</v>
      </c>
      <c r="H33" s="157">
        <v>7.67</v>
      </c>
      <c r="I33" s="157">
        <v>62.06</v>
      </c>
      <c r="J33" s="157">
        <v>0</v>
      </c>
      <c r="K33" s="157">
        <v>45.13</v>
      </c>
      <c r="L33" s="158">
        <v>-0.01</v>
      </c>
      <c r="M33" s="157">
        <v>0</v>
      </c>
      <c r="N33" s="157">
        <v>0</v>
      </c>
      <c r="O33" s="157">
        <v>114.85</v>
      </c>
      <c r="P33" s="157">
        <v>2385.1999999999998</v>
      </c>
      <c r="Q33" s="143" t="str">
        <f t="shared" si="0"/>
        <v>SI</v>
      </c>
      <c r="R33" s="145" t="s">
        <v>222</v>
      </c>
      <c r="S33" s="144" t="s">
        <v>223</v>
      </c>
    </row>
    <row r="34" spans="1:19">
      <c r="A34" s="145" t="s">
        <v>224</v>
      </c>
      <c r="B34" s="144" t="s">
        <v>225</v>
      </c>
      <c r="C34" s="157">
        <v>1200</v>
      </c>
      <c r="D34" s="157">
        <v>0</v>
      </c>
      <c r="E34" s="157">
        <v>0</v>
      </c>
      <c r="F34" s="157">
        <v>1200</v>
      </c>
      <c r="G34" s="158">
        <v>-134.91</v>
      </c>
      <c r="H34" s="157">
        <v>0</v>
      </c>
      <c r="I34" s="157">
        <v>29.79</v>
      </c>
      <c r="J34" s="157">
        <v>0</v>
      </c>
      <c r="K34" s="157">
        <v>0</v>
      </c>
      <c r="L34" s="158">
        <v>-0.08</v>
      </c>
      <c r="M34" s="157">
        <v>0</v>
      </c>
      <c r="N34" s="157">
        <v>0</v>
      </c>
      <c r="O34" s="157">
        <v>-105.2</v>
      </c>
      <c r="P34" s="157">
        <v>1305.2</v>
      </c>
      <c r="Q34" s="143" t="str">
        <f t="shared" si="0"/>
        <v>SI</v>
      </c>
      <c r="R34" s="145" t="s">
        <v>224</v>
      </c>
      <c r="S34" s="144" t="s">
        <v>225</v>
      </c>
    </row>
    <row r="35" spans="1:19">
      <c r="A35" s="145" t="s">
        <v>226</v>
      </c>
      <c r="B35" s="144" t="s">
        <v>227</v>
      </c>
      <c r="C35" s="157">
        <v>3000</v>
      </c>
      <c r="D35" s="157">
        <v>0</v>
      </c>
      <c r="E35" s="157">
        <v>0</v>
      </c>
      <c r="F35" s="157">
        <v>3000</v>
      </c>
      <c r="G35" s="157">
        <v>0</v>
      </c>
      <c r="H35" s="157">
        <v>76.98</v>
      </c>
      <c r="I35" s="157">
        <v>74.48</v>
      </c>
      <c r="J35" s="157">
        <v>0</v>
      </c>
      <c r="K35" s="157">
        <v>45.13</v>
      </c>
      <c r="L35" s="158">
        <v>-0.19</v>
      </c>
      <c r="M35" s="157">
        <v>0</v>
      </c>
      <c r="N35" s="157">
        <v>0</v>
      </c>
      <c r="O35" s="157">
        <v>196.4</v>
      </c>
      <c r="P35" s="157">
        <v>2803.6</v>
      </c>
      <c r="Q35" s="143" t="str">
        <f t="shared" si="0"/>
        <v>SI</v>
      </c>
      <c r="R35" s="145" t="s">
        <v>226</v>
      </c>
      <c r="S35" s="144" t="s">
        <v>227</v>
      </c>
    </row>
    <row r="36" spans="1:19">
      <c r="A36" s="145" t="s">
        <v>228</v>
      </c>
      <c r="B36" s="144" t="s">
        <v>229</v>
      </c>
      <c r="C36" s="157">
        <v>2250</v>
      </c>
      <c r="D36" s="157">
        <v>0</v>
      </c>
      <c r="E36" s="157">
        <v>0</v>
      </c>
      <c r="F36" s="157">
        <v>2250</v>
      </c>
      <c r="G36" s="158">
        <v>-34.020000000000003</v>
      </c>
      <c r="H36" s="157">
        <v>0</v>
      </c>
      <c r="I36" s="157">
        <v>55.93</v>
      </c>
      <c r="J36" s="157">
        <v>0</v>
      </c>
      <c r="K36" s="157">
        <v>45.13</v>
      </c>
      <c r="L36" s="158">
        <v>-0.04</v>
      </c>
      <c r="M36" s="157">
        <v>0</v>
      </c>
      <c r="N36" s="157">
        <v>0</v>
      </c>
      <c r="O36" s="157">
        <v>67</v>
      </c>
      <c r="P36" s="157">
        <v>2183</v>
      </c>
      <c r="Q36" s="143" t="str">
        <f t="shared" si="0"/>
        <v>SI</v>
      </c>
      <c r="R36" s="145" t="s">
        <v>228</v>
      </c>
      <c r="S36" s="144" t="s">
        <v>229</v>
      </c>
    </row>
    <row r="37" spans="1:19">
      <c r="A37" s="145" t="s">
        <v>230</v>
      </c>
      <c r="B37" s="144" t="s">
        <v>231</v>
      </c>
      <c r="C37" s="157">
        <v>2500.0500000000002</v>
      </c>
      <c r="D37" s="157">
        <v>0</v>
      </c>
      <c r="E37" s="157">
        <v>0</v>
      </c>
      <c r="F37" s="157">
        <v>2500.0500000000002</v>
      </c>
      <c r="G37" s="157">
        <v>0</v>
      </c>
      <c r="H37" s="157">
        <v>7.67</v>
      </c>
      <c r="I37" s="157">
        <v>62.31</v>
      </c>
      <c r="J37" s="157">
        <v>313.89999999999998</v>
      </c>
      <c r="K37" s="157">
        <v>45.13</v>
      </c>
      <c r="L37" s="157">
        <v>0.04</v>
      </c>
      <c r="M37" s="157">
        <v>0</v>
      </c>
      <c r="N37" s="157">
        <v>0</v>
      </c>
      <c r="O37" s="157">
        <v>429.05</v>
      </c>
      <c r="P37" s="157">
        <v>2071</v>
      </c>
      <c r="Q37" s="143" t="str">
        <f t="shared" si="0"/>
        <v>SI</v>
      </c>
      <c r="R37" s="145" t="s">
        <v>230</v>
      </c>
      <c r="S37" s="144" t="s">
        <v>231</v>
      </c>
    </row>
    <row r="38" spans="1:19">
      <c r="A38" s="145" t="s">
        <v>232</v>
      </c>
      <c r="B38" s="144" t="s">
        <v>233</v>
      </c>
      <c r="C38" s="157">
        <v>1750.05</v>
      </c>
      <c r="D38" s="157">
        <v>0</v>
      </c>
      <c r="E38" s="157">
        <v>0</v>
      </c>
      <c r="F38" s="157">
        <v>1750.05</v>
      </c>
      <c r="G38" s="158">
        <v>-87.68</v>
      </c>
      <c r="H38" s="157">
        <v>0</v>
      </c>
      <c r="I38" s="157">
        <v>43.68</v>
      </c>
      <c r="J38" s="157">
        <v>0</v>
      </c>
      <c r="K38" s="157">
        <v>45.13</v>
      </c>
      <c r="L38" s="158">
        <v>-0.08</v>
      </c>
      <c r="M38" s="157">
        <v>0</v>
      </c>
      <c r="N38" s="157">
        <v>0</v>
      </c>
      <c r="O38" s="157">
        <v>1.05</v>
      </c>
      <c r="P38" s="157">
        <v>1749</v>
      </c>
      <c r="Q38" s="143" t="str">
        <f t="shared" si="0"/>
        <v>SI</v>
      </c>
      <c r="R38" s="145" t="s">
        <v>232</v>
      </c>
      <c r="S38" s="144" t="s">
        <v>233</v>
      </c>
    </row>
    <row r="39" spans="1:19">
      <c r="A39" s="145" t="s">
        <v>234</v>
      </c>
      <c r="B39" s="144" t="s">
        <v>235</v>
      </c>
      <c r="C39" s="157">
        <v>3000</v>
      </c>
      <c r="D39" s="157">
        <v>0</v>
      </c>
      <c r="E39" s="157">
        <v>0</v>
      </c>
      <c r="F39" s="157">
        <v>3000</v>
      </c>
      <c r="G39" s="157">
        <v>0</v>
      </c>
      <c r="H39" s="157">
        <v>76.98</v>
      </c>
      <c r="I39" s="157">
        <v>74.48</v>
      </c>
      <c r="J39" s="157">
        <v>0</v>
      </c>
      <c r="K39" s="157">
        <v>45.13</v>
      </c>
      <c r="L39" s="157">
        <v>0.01</v>
      </c>
      <c r="M39" s="157">
        <v>0</v>
      </c>
      <c r="N39" s="157">
        <v>0</v>
      </c>
      <c r="O39" s="157">
        <v>196.6</v>
      </c>
      <c r="P39" s="157">
        <v>2803.4</v>
      </c>
      <c r="Q39" s="143" t="str">
        <f t="shared" si="0"/>
        <v>SI</v>
      </c>
      <c r="R39" s="145" t="s">
        <v>234</v>
      </c>
      <c r="S39" s="144" t="s">
        <v>235</v>
      </c>
    </row>
    <row r="40" spans="1:19">
      <c r="A40" s="145" t="s">
        <v>236</v>
      </c>
      <c r="B40" s="144" t="s">
        <v>237</v>
      </c>
      <c r="C40" s="157">
        <v>2750.1</v>
      </c>
      <c r="D40" s="157">
        <v>0</v>
      </c>
      <c r="E40" s="157">
        <v>0</v>
      </c>
      <c r="F40" s="157">
        <v>2750.1</v>
      </c>
      <c r="G40" s="157">
        <v>0</v>
      </c>
      <c r="H40" s="157">
        <v>49.79</v>
      </c>
      <c r="I40" s="157">
        <v>68.28</v>
      </c>
      <c r="J40" s="157">
        <v>0</v>
      </c>
      <c r="K40" s="157">
        <v>45.13</v>
      </c>
      <c r="L40" s="158">
        <v>-0.1</v>
      </c>
      <c r="M40" s="157">
        <v>0</v>
      </c>
      <c r="N40" s="157">
        <v>0</v>
      </c>
      <c r="O40" s="157">
        <v>163.1</v>
      </c>
      <c r="P40" s="157">
        <v>2587</v>
      </c>
      <c r="Q40" s="143" t="str">
        <f t="shared" si="0"/>
        <v>SI</v>
      </c>
      <c r="R40" s="145" t="s">
        <v>236</v>
      </c>
      <c r="S40" s="144" t="s">
        <v>237</v>
      </c>
    </row>
    <row r="41" spans="1:19">
      <c r="A41" s="145" t="s">
        <v>238</v>
      </c>
      <c r="B41" s="144" t="s">
        <v>239</v>
      </c>
      <c r="C41" s="157">
        <v>3750</v>
      </c>
      <c r="D41" s="157">
        <v>0</v>
      </c>
      <c r="E41" s="157">
        <v>0</v>
      </c>
      <c r="F41" s="157">
        <v>3750</v>
      </c>
      <c r="G41" s="157">
        <v>0</v>
      </c>
      <c r="H41" s="157">
        <v>309.02999999999997</v>
      </c>
      <c r="I41" s="157">
        <v>96.32</v>
      </c>
      <c r="J41" s="157">
        <v>357.22</v>
      </c>
      <c r="K41" s="157">
        <v>45.13</v>
      </c>
      <c r="L41" s="157">
        <v>0.1</v>
      </c>
      <c r="M41" s="157">
        <v>0</v>
      </c>
      <c r="N41" s="157">
        <v>0</v>
      </c>
      <c r="O41" s="157">
        <v>807.8</v>
      </c>
      <c r="P41" s="157">
        <v>2942.2</v>
      </c>
      <c r="Q41" s="143" t="str">
        <f t="shared" si="0"/>
        <v>SI</v>
      </c>
      <c r="R41" s="145" t="s">
        <v>238</v>
      </c>
      <c r="S41" s="144" t="s">
        <v>239</v>
      </c>
    </row>
    <row r="42" spans="1:19">
      <c r="A42" s="145" t="s">
        <v>240</v>
      </c>
      <c r="B42" s="144" t="s">
        <v>241</v>
      </c>
      <c r="C42" s="157">
        <v>5500.05</v>
      </c>
      <c r="D42" s="157">
        <v>0</v>
      </c>
      <c r="E42" s="157">
        <v>0</v>
      </c>
      <c r="F42" s="157">
        <v>5500.05</v>
      </c>
      <c r="G42" s="157">
        <v>0</v>
      </c>
      <c r="H42" s="157">
        <v>627.54999999999995</v>
      </c>
      <c r="I42" s="157">
        <v>146.38</v>
      </c>
      <c r="J42" s="157">
        <v>0</v>
      </c>
      <c r="K42" s="157">
        <v>45.13</v>
      </c>
      <c r="L42" s="158">
        <v>-0.01</v>
      </c>
      <c r="M42" s="157">
        <v>0</v>
      </c>
      <c r="N42" s="157">
        <v>0</v>
      </c>
      <c r="O42" s="157">
        <v>819.05</v>
      </c>
      <c r="P42" s="157">
        <v>4681</v>
      </c>
      <c r="Q42" s="143" t="str">
        <f t="shared" si="0"/>
        <v>SI</v>
      </c>
      <c r="R42" s="145" t="s">
        <v>240</v>
      </c>
      <c r="S42" s="144" t="s">
        <v>241</v>
      </c>
    </row>
    <row r="43" spans="1:19">
      <c r="A43" s="145" t="s">
        <v>242</v>
      </c>
      <c r="B43" s="144" t="s">
        <v>243</v>
      </c>
      <c r="C43" s="157">
        <v>7500</v>
      </c>
      <c r="D43" s="157">
        <v>0</v>
      </c>
      <c r="E43" s="157">
        <v>0</v>
      </c>
      <c r="F43" s="157">
        <v>7500</v>
      </c>
      <c r="G43" s="157">
        <v>0</v>
      </c>
      <c r="H43" s="157">
        <v>1054.74</v>
      </c>
      <c r="I43" s="157">
        <v>205.52</v>
      </c>
      <c r="J43" s="157">
        <v>1350</v>
      </c>
      <c r="K43" s="157">
        <v>45.13</v>
      </c>
      <c r="L43" s="157">
        <v>0.01</v>
      </c>
      <c r="M43" s="157">
        <v>0</v>
      </c>
      <c r="N43" s="157">
        <v>0</v>
      </c>
      <c r="O43" s="157">
        <v>2655.4</v>
      </c>
      <c r="P43" s="157">
        <v>4844.6000000000004</v>
      </c>
      <c r="Q43" s="143" t="str">
        <f t="shared" si="0"/>
        <v>SI</v>
      </c>
      <c r="R43" s="145" t="s">
        <v>242</v>
      </c>
      <c r="S43" s="144" t="s">
        <v>243</v>
      </c>
    </row>
    <row r="44" spans="1:19">
      <c r="A44" s="145" t="s">
        <v>244</v>
      </c>
      <c r="B44" s="144" t="s">
        <v>245</v>
      </c>
      <c r="C44" s="157">
        <v>2800</v>
      </c>
      <c r="D44" s="157">
        <v>0</v>
      </c>
      <c r="E44" s="157">
        <v>0</v>
      </c>
      <c r="F44" s="157">
        <v>2800</v>
      </c>
      <c r="G44" s="157">
        <v>0</v>
      </c>
      <c r="H44" s="157">
        <v>55.22</v>
      </c>
      <c r="I44" s="157">
        <v>70.91</v>
      </c>
      <c r="J44" s="157">
        <v>0</v>
      </c>
      <c r="K44" s="157">
        <v>45.13</v>
      </c>
      <c r="L44" s="157">
        <v>0.14000000000000001</v>
      </c>
      <c r="M44" s="157">
        <v>0</v>
      </c>
      <c r="N44" s="157">
        <v>0</v>
      </c>
      <c r="O44" s="157">
        <v>171.4</v>
      </c>
      <c r="P44" s="157">
        <v>2628.6</v>
      </c>
      <c r="Q44" s="143" t="str">
        <f t="shared" si="0"/>
        <v>SI</v>
      </c>
      <c r="R44" s="145" t="s">
        <v>244</v>
      </c>
      <c r="S44" s="144" t="s">
        <v>245</v>
      </c>
    </row>
    <row r="45" spans="1:19">
      <c r="A45" s="145" t="s">
        <v>246</v>
      </c>
      <c r="B45" s="144" t="s">
        <v>247</v>
      </c>
      <c r="C45" s="157">
        <v>2000.1</v>
      </c>
      <c r="D45" s="157">
        <v>0</v>
      </c>
      <c r="E45" s="157">
        <v>0</v>
      </c>
      <c r="F45" s="157">
        <v>2000.1</v>
      </c>
      <c r="G45" s="158">
        <v>-71.680000000000007</v>
      </c>
      <c r="H45" s="157">
        <v>0</v>
      </c>
      <c r="I45" s="157">
        <v>49.85</v>
      </c>
      <c r="J45" s="157">
        <v>0</v>
      </c>
      <c r="K45" s="157">
        <v>45.13</v>
      </c>
      <c r="L45" s="157">
        <v>0</v>
      </c>
      <c r="M45" s="157">
        <v>0</v>
      </c>
      <c r="N45" s="157">
        <v>0</v>
      </c>
      <c r="O45" s="157">
        <v>23.3</v>
      </c>
      <c r="P45" s="157">
        <v>1976.8</v>
      </c>
      <c r="Q45" s="143" t="str">
        <f t="shared" si="0"/>
        <v>SI</v>
      </c>
      <c r="R45" s="145" t="s">
        <v>246</v>
      </c>
      <c r="S45" s="144" t="s">
        <v>247</v>
      </c>
    </row>
    <row r="46" spans="1:19">
      <c r="A46" s="145" t="s">
        <v>248</v>
      </c>
      <c r="B46" s="144" t="s">
        <v>249</v>
      </c>
      <c r="C46" s="157">
        <v>6000</v>
      </c>
      <c r="D46" s="157">
        <v>0</v>
      </c>
      <c r="E46" s="157">
        <v>0</v>
      </c>
      <c r="F46" s="157">
        <v>6000</v>
      </c>
      <c r="G46" s="157">
        <v>0</v>
      </c>
      <c r="H46" s="157">
        <v>734.34</v>
      </c>
      <c r="I46" s="157">
        <v>161.79</v>
      </c>
      <c r="J46" s="157">
        <v>0</v>
      </c>
      <c r="K46" s="157">
        <v>45.13</v>
      </c>
      <c r="L46" s="158">
        <v>-0.06</v>
      </c>
      <c r="M46" s="157">
        <v>0</v>
      </c>
      <c r="N46" s="157">
        <v>435</v>
      </c>
      <c r="O46" s="157">
        <v>1376.2</v>
      </c>
      <c r="P46" s="157">
        <v>4623.8</v>
      </c>
      <c r="Q46" s="143" t="str">
        <f t="shared" si="0"/>
        <v>SI</v>
      </c>
      <c r="R46" s="145" t="s">
        <v>248</v>
      </c>
      <c r="S46" s="144" t="s">
        <v>249</v>
      </c>
    </row>
    <row r="47" spans="1:19">
      <c r="A47" s="145" t="s">
        <v>250</v>
      </c>
      <c r="B47" s="144" t="s">
        <v>251</v>
      </c>
      <c r="C47" s="157">
        <v>6250.05</v>
      </c>
      <c r="D47" s="157">
        <v>0</v>
      </c>
      <c r="E47" s="157">
        <v>0</v>
      </c>
      <c r="F47" s="157">
        <v>6250.05</v>
      </c>
      <c r="G47" s="157">
        <v>0</v>
      </c>
      <c r="H47" s="157">
        <v>787.75</v>
      </c>
      <c r="I47" s="157">
        <v>168.6</v>
      </c>
      <c r="J47" s="157">
        <v>0</v>
      </c>
      <c r="K47" s="157">
        <v>45.13</v>
      </c>
      <c r="L47" s="158">
        <v>-0.03</v>
      </c>
      <c r="M47" s="157">
        <v>0</v>
      </c>
      <c r="N47" s="157">
        <v>0</v>
      </c>
      <c r="O47" s="157">
        <v>1001.45</v>
      </c>
      <c r="P47" s="157">
        <v>5248.6</v>
      </c>
      <c r="Q47" s="143" t="str">
        <f t="shared" si="0"/>
        <v>SI</v>
      </c>
      <c r="R47" s="145" t="s">
        <v>250</v>
      </c>
      <c r="S47" s="144" t="s">
        <v>251</v>
      </c>
    </row>
    <row r="48" spans="1:19">
      <c r="A48" s="145" t="s">
        <v>252</v>
      </c>
      <c r="B48" s="144" t="s">
        <v>253</v>
      </c>
      <c r="C48" s="157">
        <v>2250</v>
      </c>
      <c r="D48" s="157">
        <v>0</v>
      </c>
      <c r="E48" s="157">
        <v>0</v>
      </c>
      <c r="F48" s="157">
        <v>2250</v>
      </c>
      <c r="G48" s="158">
        <v>-34.020000000000003</v>
      </c>
      <c r="H48" s="157">
        <v>0</v>
      </c>
      <c r="I48" s="157">
        <v>55.86</v>
      </c>
      <c r="J48" s="157">
        <v>0</v>
      </c>
      <c r="K48" s="157">
        <v>45.13</v>
      </c>
      <c r="L48" s="157">
        <v>0.03</v>
      </c>
      <c r="M48" s="157">
        <v>0</v>
      </c>
      <c r="N48" s="157">
        <v>0</v>
      </c>
      <c r="O48" s="157">
        <v>67</v>
      </c>
      <c r="P48" s="157">
        <v>2183</v>
      </c>
      <c r="Q48" s="143" t="str">
        <f t="shared" si="0"/>
        <v>SI</v>
      </c>
      <c r="R48" s="145" t="s">
        <v>252</v>
      </c>
      <c r="S48" s="144" t="s">
        <v>253</v>
      </c>
    </row>
    <row r="49" spans="1:19">
      <c r="A49" s="145" t="s">
        <v>254</v>
      </c>
      <c r="B49" s="144" t="s">
        <v>255</v>
      </c>
      <c r="C49" s="157">
        <v>5868.75</v>
      </c>
      <c r="D49" s="157">
        <v>0</v>
      </c>
      <c r="E49" s="157">
        <v>0</v>
      </c>
      <c r="F49" s="157">
        <v>5868.75</v>
      </c>
      <c r="G49" s="157">
        <v>0</v>
      </c>
      <c r="H49" s="157">
        <v>706.3</v>
      </c>
      <c r="I49" s="157">
        <v>157.08000000000001</v>
      </c>
      <c r="J49" s="157">
        <v>0</v>
      </c>
      <c r="K49" s="157">
        <v>45.13</v>
      </c>
      <c r="L49" s="157">
        <v>0.04</v>
      </c>
      <c r="M49" s="157">
        <v>0</v>
      </c>
      <c r="N49" s="157">
        <v>0</v>
      </c>
      <c r="O49" s="157">
        <v>908.55</v>
      </c>
      <c r="P49" s="157">
        <v>4960.2</v>
      </c>
      <c r="Q49" s="143" t="str">
        <f t="shared" si="0"/>
        <v>SI</v>
      </c>
      <c r="R49" s="145" t="s">
        <v>254</v>
      </c>
      <c r="S49" s="144" t="s">
        <v>255</v>
      </c>
    </row>
    <row r="50" spans="1:19">
      <c r="A50" s="145" t="s">
        <v>256</v>
      </c>
      <c r="B50" s="144" t="s">
        <v>257</v>
      </c>
      <c r="C50" s="157">
        <v>3750</v>
      </c>
      <c r="D50" s="157">
        <v>0</v>
      </c>
      <c r="E50" s="157">
        <v>0</v>
      </c>
      <c r="F50" s="157">
        <v>3750</v>
      </c>
      <c r="G50" s="157">
        <v>0</v>
      </c>
      <c r="H50" s="157">
        <v>309.02999999999997</v>
      </c>
      <c r="I50" s="157">
        <v>96.32</v>
      </c>
      <c r="J50" s="157">
        <v>1000</v>
      </c>
      <c r="K50" s="157">
        <v>45.13</v>
      </c>
      <c r="L50" s="157">
        <v>0.12</v>
      </c>
      <c r="M50" s="157">
        <v>0</v>
      </c>
      <c r="N50" s="157">
        <v>0</v>
      </c>
      <c r="O50" s="157">
        <v>1450.6</v>
      </c>
      <c r="P50" s="157">
        <v>2299.4</v>
      </c>
      <c r="Q50" s="143" t="str">
        <f t="shared" si="0"/>
        <v>SI</v>
      </c>
      <c r="R50" s="145" t="s">
        <v>256</v>
      </c>
      <c r="S50" s="144" t="s">
        <v>257</v>
      </c>
    </row>
    <row r="51" spans="1:19">
      <c r="A51" s="145" t="s">
        <v>258</v>
      </c>
      <c r="B51" s="144" t="s">
        <v>259</v>
      </c>
      <c r="C51" s="157">
        <v>5868.6</v>
      </c>
      <c r="D51" s="157">
        <v>0</v>
      </c>
      <c r="E51" s="157">
        <v>0</v>
      </c>
      <c r="F51" s="157">
        <v>5868.6</v>
      </c>
      <c r="G51" s="157">
        <v>0</v>
      </c>
      <c r="H51" s="157">
        <v>706.27</v>
      </c>
      <c r="I51" s="157">
        <v>157.07</v>
      </c>
      <c r="J51" s="157">
        <v>0</v>
      </c>
      <c r="K51" s="157">
        <v>45.13</v>
      </c>
      <c r="L51" s="158">
        <v>-7.0000000000000007E-2</v>
      </c>
      <c r="M51" s="157">
        <v>0</v>
      </c>
      <c r="N51" s="157">
        <v>0</v>
      </c>
      <c r="O51" s="157">
        <v>908.4</v>
      </c>
      <c r="P51" s="157">
        <v>4960.2</v>
      </c>
      <c r="Q51" s="143" t="str">
        <f t="shared" si="0"/>
        <v>SI</v>
      </c>
      <c r="R51" s="145" t="s">
        <v>258</v>
      </c>
      <c r="S51" s="144" t="s">
        <v>259</v>
      </c>
    </row>
    <row r="52" spans="1:19">
      <c r="A52" s="145" t="s">
        <v>260</v>
      </c>
      <c r="B52" s="144" t="s">
        <v>261</v>
      </c>
      <c r="C52" s="157">
        <v>3750</v>
      </c>
      <c r="D52" s="157">
        <v>0</v>
      </c>
      <c r="E52" s="157">
        <v>0</v>
      </c>
      <c r="F52" s="157">
        <v>3750</v>
      </c>
      <c r="G52" s="157">
        <v>0</v>
      </c>
      <c r="H52" s="157">
        <v>309.02999999999997</v>
      </c>
      <c r="I52" s="157">
        <v>95.62</v>
      </c>
      <c r="J52" s="157">
        <v>500</v>
      </c>
      <c r="K52" s="157">
        <v>45.13</v>
      </c>
      <c r="L52" s="157">
        <v>0.02</v>
      </c>
      <c r="M52" s="157">
        <v>0</v>
      </c>
      <c r="N52" s="157">
        <v>0</v>
      </c>
      <c r="O52" s="157">
        <v>949.8</v>
      </c>
      <c r="P52" s="157">
        <v>2800.2</v>
      </c>
      <c r="Q52" s="143" t="str">
        <f t="shared" si="0"/>
        <v>SI</v>
      </c>
      <c r="R52" s="145" t="s">
        <v>260</v>
      </c>
      <c r="S52" s="144" t="s">
        <v>261</v>
      </c>
    </row>
    <row r="53" spans="1:19">
      <c r="A53" s="145" t="s">
        <v>262</v>
      </c>
      <c r="B53" s="144" t="s">
        <v>263</v>
      </c>
      <c r="C53" s="157">
        <v>3250.05</v>
      </c>
      <c r="D53" s="157">
        <v>0</v>
      </c>
      <c r="E53" s="157">
        <v>0</v>
      </c>
      <c r="F53" s="157">
        <v>3250.05</v>
      </c>
      <c r="G53" s="157">
        <v>0</v>
      </c>
      <c r="H53" s="157">
        <v>124.46</v>
      </c>
      <c r="I53" s="157">
        <v>81.12</v>
      </c>
      <c r="J53" s="157">
        <v>0</v>
      </c>
      <c r="K53" s="157">
        <v>45.13</v>
      </c>
      <c r="L53" s="157">
        <v>0.14000000000000001</v>
      </c>
      <c r="M53" s="157">
        <v>0</v>
      </c>
      <c r="N53" s="157">
        <v>0</v>
      </c>
      <c r="O53" s="157">
        <v>250.85</v>
      </c>
      <c r="P53" s="157">
        <v>2999.2</v>
      </c>
      <c r="Q53" s="143" t="str">
        <f t="shared" si="0"/>
        <v>SI</v>
      </c>
      <c r="R53" s="145" t="s">
        <v>262</v>
      </c>
      <c r="S53" s="144" t="s">
        <v>263</v>
      </c>
    </row>
    <row r="54" spans="1:19">
      <c r="A54" s="160" t="s">
        <v>264</v>
      </c>
      <c r="B54" s="152"/>
      <c r="C54" s="152" t="s">
        <v>265</v>
      </c>
      <c r="D54" s="152" t="s">
        <v>265</v>
      </c>
      <c r="E54" s="152" t="s">
        <v>265</v>
      </c>
      <c r="F54" s="152" t="s">
        <v>265</v>
      </c>
      <c r="G54" s="152" t="s">
        <v>265</v>
      </c>
      <c r="H54" s="152" t="s">
        <v>265</v>
      </c>
      <c r="I54" s="152" t="s">
        <v>265</v>
      </c>
      <c r="J54" s="152" t="s">
        <v>265</v>
      </c>
      <c r="K54" s="152" t="s">
        <v>265</v>
      </c>
      <c r="L54" s="152" t="s">
        <v>265</v>
      </c>
      <c r="M54" s="152" t="s">
        <v>265</v>
      </c>
      <c r="N54" s="152" t="s">
        <v>265</v>
      </c>
      <c r="O54" s="152" t="s">
        <v>265</v>
      </c>
      <c r="P54" s="152" t="s">
        <v>265</v>
      </c>
      <c r="Q54" s="143" t="str">
        <f t="shared" si="0"/>
        <v>SI</v>
      </c>
      <c r="R54" s="160" t="s">
        <v>264</v>
      </c>
      <c r="S54" s="152"/>
    </row>
    <row r="55" spans="1:19">
      <c r="C55" s="162">
        <v>192957.55</v>
      </c>
      <c r="D55" s="162">
        <v>0</v>
      </c>
      <c r="E55" s="162">
        <v>0</v>
      </c>
      <c r="F55" s="162">
        <v>192957.55</v>
      </c>
      <c r="G55" s="163">
        <v>-362.31</v>
      </c>
      <c r="H55" s="162">
        <v>19749.009999999998</v>
      </c>
      <c r="I55" s="162">
        <v>5124.8100000000004</v>
      </c>
      <c r="J55" s="162">
        <v>10825.03</v>
      </c>
      <c r="K55" s="162">
        <v>1805.2</v>
      </c>
      <c r="L55" s="162">
        <v>0.01</v>
      </c>
      <c r="M55" s="162">
        <v>0</v>
      </c>
      <c r="N55" s="162">
        <v>2190</v>
      </c>
      <c r="O55" s="162">
        <v>39331.75</v>
      </c>
      <c r="P55" s="162">
        <v>153625.79999999999</v>
      </c>
      <c r="Q55" s="143" t="str">
        <f t="shared" si="0"/>
        <v>SI</v>
      </c>
    </row>
    <row r="57" spans="1:19">
      <c r="A57" s="156" t="s">
        <v>266</v>
      </c>
      <c r="R57" s="156" t="s">
        <v>266</v>
      </c>
    </row>
    <row r="58" spans="1:19">
      <c r="A58" s="145" t="s">
        <v>267</v>
      </c>
      <c r="B58" s="144" t="s">
        <v>268</v>
      </c>
      <c r="C58" s="157">
        <v>1200</v>
      </c>
      <c r="D58" s="157">
        <v>1379.52</v>
      </c>
      <c r="E58" s="157">
        <v>0</v>
      </c>
      <c r="F58" s="157">
        <v>2579.52</v>
      </c>
      <c r="G58" s="157">
        <v>0</v>
      </c>
      <c r="H58" s="157">
        <v>16.309999999999999</v>
      </c>
      <c r="I58" s="157">
        <v>29.79</v>
      </c>
      <c r="J58" s="157">
        <v>0</v>
      </c>
      <c r="K58" s="157">
        <v>45.13</v>
      </c>
      <c r="L58" s="157">
        <v>0.09</v>
      </c>
      <c r="M58" s="157">
        <v>0</v>
      </c>
      <c r="N58" s="157">
        <v>0</v>
      </c>
      <c r="O58" s="157">
        <v>91.32</v>
      </c>
      <c r="P58" s="157">
        <v>2488.1999999999998</v>
      </c>
      <c r="Q58" s="143" t="str">
        <f t="shared" ref="Q58:Q70" si="1">IF(B58=S58,"SI","NO")</f>
        <v>SI</v>
      </c>
      <c r="R58" s="145" t="s">
        <v>267</v>
      </c>
      <c r="S58" s="144" t="s">
        <v>268</v>
      </c>
    </row>
    <row r="59" spans="1:19">
      <c r="A59" s="145" t="s">
        <v>269</v>
      </c>
      <c r="B59" s="144" t="s">
        <v>270</v>
      </c>
      <c r="C59" s="157">
        <v>1200</v>
      </c>
      <c r="D59" s="157">
        <v>2140</v>
      </c>
      <c r="E59" s="157">
        <v>0</v>
      </c>
      <c r="F59" s="157">
        <v>3340</v>
      </c>
      <c r="G59" s="157">
        <v>0</v>
      </c>
      <c r="H59" s="157">
        <v>134.25</v>
      </c>
      <c r="I59" s="157">
        <v>44.35</v>
      </c>
      <c r="J59" s="157">
        <v>0</v>
      </c>
      <c r="K59" s="157">
        <v>45.13</v>
      </c>
      <c r="L59" s="157">
        <v>7.0000000000000007E-2</v>
      </c>
      <c r="M59" s="157">
        <v>0</v>
      </c>
      <c r="N59" s="157">
        <v>0</v>
      </c>
      <c r="O59" s="157">
        <v>223.8</v>
      </c>
      <c r="P59" s="157">
        <v>3116.2</v>
      </c>
      <c r="Q59" s="143" t="str">
        <f t="shared" si="1"/>
        <v>SI</v>
      </c>
      <c r="R59" s="145" t="s">
        <v>269</v>
      </c>
      <c r="S59" s="144" t="s">
        <v>270</v>
      </c>
    </row>
    <row r="60" spans="1:19">
      <c r="A60" s="145" t="s">
        <v>271</v>
      </c>
      <c r="B60" s="144" t="s">
        <v>272</v>
      </c>
      <c r="C60" s="157">
        <v>1200</v>
      </c>
      <c r="D60" s="157">
        <v>1950</v>
      </c>
      <c r="E60" s="157">
        <v>0</v>
      </c>
      <c r="F60" s="157">
        <v>3150</v>
      </c>
      <c r="G60" s="157">
        <v>0</v>
      </c>
      <c r="H60" s="157">
        <v>113.58</v>
      </c>
      <c r="I60" s="157">
        <v>69.86</v>
      </c>
      <c r="J60" s="157">
        <v>0</v>
      </c>
      <c r="K60" s="157">
        <v>45.13</v>
      </c>
      <c r="L60" s="157">
        <v>0.03</v>
      </c>
      <c r="M60" s="157">
        <v>0</v>
      </c>
      <c r="N60" s="157">
        <v>0</v>
      </c>
      <c r="O60" s="157">
        <v>228.6</v>
      </c>
      <c r="P60" s="157">
        <v>2921.4</v>
      </c>
      <c r="Q60" s="143" t="str">
        <f t="shared" si="1"/>
        <v>SI</v>
      </c>
      <c r="R60" s="145" t="s">
        <v>271</v>
      </c>
      <c r="S60" s="144" t="s">
        <v>272</v>
      </c>
    </row>
    <row r="61" spans="1:19">
      <c r="A61" s="145" t="s">
        <v>273</v>
      </c>
      <c r="B61" s="144" t="s">
        <v>274</v>
      </c>
      <c r="C61" s="157">
        <v>1200</v>
      </c>
      <c r="D61" s="157">
        <v>2055.12</v>
      </c>
      <c r="E61" s="157">
        <v>0</v>
      </c>
      <c r="F61" s="157">
        <v>3255.12</v>
      </c>
      <c r="G61" s="157">
        <v>0</v>
      </c>
      <c r="H61" s="157">
        <v>125.02</v>
      </c>
      <c r="I61" s="157">
        <v>65.739999999999995</v>
      </c>
      <c r="J61" s="157">
        <v>0</v>
      </c>
      <c r="K61" s="157">
        <v>45.13</v>
      </c>
      <c r="L61" s="158">
        <v>-0.17</v>
      </c>
      <c r="M61" s="157">
        <v>0</v>
      </c>
      <c r="N61" s="157">
        <v>0</v>
      </c>
      <c r="O61" s="157">
        <v>235.72</v>
      </c>
      <c r="P61" s="157">
        <v>3019.4</v>
      </c>
      <c r="Q61" s="143" t="str">
        <f t="shared" si="1"/>
        <v>SI</v>
      </c>
      <c r="R61" s="145" t="s">
        <v>273</v>
      </c>
      <c r="S61" s="144" t="s">
        <v>274</v>
      </c>
    </row>
    <row r="62" spans="1:19">
      <c r="A62" s="145" t="s">
        <v>275</v>
      </c>
      <c r="B62" s="144" t="s">
        <v>276</v>
      </c>
      <c r="C62" s="157">
        <v>1200</v>
      </c>
      <c r="D62" s="157">
        <v>4516.8999999999996</v>
      </c>
      <c r="E62" s="157">
        <v>0</v>
      </c>
      <c r="F62" s="157">
        <v>5716.9</v>
      </c>
      <c r="G62" s="157">
        <v>0</v>
      </c>
      <c r="H62" s="157">
        <v>673.87</v>
      </c>
      <c r="I62" s="157">
        <v>67.09</v>
      </c>
      <c r="J62" s="157">
        <v>0</v>
      </c>
      <c r="K62" s="157">
        <v>45.13</v>
      </c>
      <c r="L62" s="157">
        <v>0.01</v>
      </c>
      <c r="M62" s="157">
        <v>0</v>
      </c>
      <c r="N62" s="157">
        <v>0</v>
      </c>
      <c r="O62" s="157">
        <v>786.1</v>
      </c>
      <c r="P62" s="157">
        <v>4930.8</v>
      </c>
      <c r="Q62" s="143" t="str">
        <f t="shared" si="1"/>
        <v>SI</v>
      </c>
      <c r="R62" s="145" t="s">
        <v>275</v>
      </c>
      <c r="S62" s="144" t="s">
        <v>276</v>
      </c>
    </row>
    <row r="63" spans="1:19">
      <c r="A63" s="145" t="s">
        <v>277</v>
      </c>
      <c r="B63" s="144" t="s">
        <v>278</v>
      </c>
      <c r="C63" s="157">
        <v>1200</v>
      </c>
      <c r="D63" s="157">
        <v>4245</v>
      </c>
      <c r="E63" s="157">
        <v>0</v>
      </c>
      <c r="F63" s="157">
        <v>5445</v>
      </c>
      <c r="G63" s="157">
        <v>0</v>
      </c>
      <c r="H63" s="157">
        <v>615.79</v>
      </c>
      <c r="I63" s="157">
        <v>92.6</v>
      </c>
      <c r="J63" s="157">
        <v>0</v>
      </c>
      <c r="K63" s="157">
        <v>45.13</v>
      </c>
      <c r="L63" s="158">
        <v>-0.1</v>
      </c>
      <c r="M63" s="157">
        <v>887.98</v>
      </c>
      <c r="N63" s="157">
        <v>0</v>
      </c>
      <c r="O63" s="157">
        <v>1641.4</v>
      </c>
      <c r="P63" s="157">
        <v>3803.6</v>
      </c>
      <c r="Q63" s="143" t="str">
        <f t="shared" si="1"/>
        <v>SI</v>
      </c>
      <c r="R63" s="145" t="s">
        <v>277</v>
      </c>
      <c r="S63" s="144" t="s">
        <v>278</v>
      </c>
    </row>
    <row r="64" spans="1:19">
      <c r="A64" s="145" t="s">
        <v>279</v>
      </c>
      <c r="B64" s="144" t="s">
        <v>280</v>
      </c>
      <c r="C64" s="157">
        <v>1200</v>
      </c>
      <c r="D64" s="157">
        <v>302.12</v>
      </c>
      <c r="E64" s="157">
        <v>0</v>
      </c>
      <c r="F64" s="157">
        <v>1502.12</v>
      </c>
      <c r="G64" s="158">
        <v>-115.47</v>
      </c>
      <c r="H64" s="157">
        <v>0</v>
      </c>
      <c r="I64" s="157">
        <v>53.27</v>
      </c>
      <c r="J64" s="157">
        <v>0</v>
      </c>
      <c r="K64" s="157">
        <v>45.13</v>
      </c>
      <c r="L64" s="158">
        <v>-0.01</v>
      </c>
      <c r="M64" s="157">
        <v>0</v>
      </c>
      <c r="N64" s="157">
        <v>0</v>
      </c>
      <c r="O64" s="157">
        <v>-17.079999999999998</v>
      </c>
      <c r="P64" s="157">
        <v>1519.2</v>
      </c>
      <c r="Q64" s="143" t="str">
        <f t="shared" si="1"/>
        <v>SI</v>
      </c>
      <c r="R64" s="145" t="s">
        <v>279</v>
      </c>
      <c r="S64" s="144" t="s">
        <v>280</v>
      </c>
    </row>
    <row r="65" spans="1:19">
      <c r="A65" s="145" t="s">
        <v>281</v>
      </c>
      <c r="B65" s="144" t="s">
        <v>282</v>
      </c>
      <c r="C65" s="157">
        <v>1750.05</v>
      </c>
      <c r="D65" s="157">
        <v>10874.44</v>
      </c>
      <c r="E65" s="157">
        <v>2005.2</v>
      </c>
      <c r="F65" s="157">
        <v>14629.69</v>
      </c>
      <c r="G65" s="157">
        <v>0</v>
      </c>
      <c r="H65" s="157">
        <v>2672.27</v>
      </c>
      <c r="I65" s="157">
        <v>122.19</v>
      </c>
      <c r="J65" s="157">
        <v>4000</v>
      </c>
      <c r="K65" s="157">
        <v>0</v>
      </c>
      <c r="L65" s="157">
        <v>0.03</v>
      </c>
      <c r="M65" s="157">
        <v>0</v>
      </c>
      <c r="N65" s="157">
        <v>0</v>
      </c>
      <c r="O65" s="157">
        <v>6794.49</v>
      </c>
      <c r="P65" s="157">
        <v>7835.2</v>
      </c>
      <c r="Q65" s="143" t="str">
        <f t="shared" si="1"/>
        <v>SI</v>
      </c>
      <c r="R65" s="145" t="s">
        <v>281</v>
      </c>
      <c r="S65" s="144" t="s">
        <v>282</v>
      </c>
    </row>
    <row r="66" spans="1:19">
      <c r="A66" s="145" t="s">
        <v>283</v>
      </c>
      <c r="B66" s="144" t="s">
        <v>284</v>
      </c>
      <c r="C66" s="157">
        <v>1200</v>
      </c>
      <c r="D66" s="157">
        <v>4989.6000000000004</v>
      </c>
      <c r="E66" s="157">
        <v>0</v>
      </c>
      <c r="F66" s="157">
        <v>6189.6</v>
      </c>
      <c r="G66" s="157">
        <v>0</v>
      </c>
      <c r="H66" s="157">
        <v>774.84</v>
      </c>
      <c r="I66" s="157">
        <v>59.01</v>
      </c>
      <c r="J66" s="157">
        <v>0</v>
      </c>
      <c r="K66" s="157">
        <v>45.13</v>
      </c>
      <c r="L66" s="157">
        <v>0.02</v>
      </c>
      <c r="M66" s="157">
        <v>0</v>
      </c>
      <c r="N66" s="157">
        <v>0</v>
      </c>
      <c r="O66" s="157">
        <v>879</v>
      </c>
      <c r="P66" s="157">
        <v>5310.6</v>
      </c>
      <c r="Q66" s="143" t="str">
        <f t="shared" si="1"/>
        <v>SI</v>
      </c>
      <c r="R66" s="145" t="s">
        <v>283</v>
      </c>
      <c r="S66" s="144" t="s">
        <v>284</v>
      </c>
    </row>
    <row r="67" spans="1:19">
      <c r="A67" s="145" t="s">
        <v>285</v>
      </c>
      <c r="B67" s="144" t="s">
        <v>286</v>
      </c>
      <c r="C67" s="157">
        <v>1200</v>
      </c>
      <c r="D67" s="157">
        <v>4543.42</v>
      </c>
      <c r="E67" s="157">
        <v>0</v>
      </c>
      <c r="F67" s="157">
        <v>5743.42</v>
      </c>
      <c r="G67" s="157">
        <v>0</v>
      </c>
      <c r="H67" s="157">
        <v>679.53</v>
      </c>
      <c r="I67" s="157">
        <v>61.61</v>
      </c>
      <c r="J67" s="157">
        <v>0</v>
      </c>
      <c r="K67" s="157">
        <v>45.13</v>
      </c>
      <c r="L67" s="158">
        <v>-0.05</v>
      </c>
      <c r="M67" s="157">
        <v>0</v>
      </c>
      <c r="N67" s="157">
        <v>0</v>
      </c>
      <c r="O67" s="157">
        <v>786.22</v>
      </c>
      <c r="P67" s="157">
        <v>4957.2</v>
      </c>
      <c r="Q67" s="143" t="str">
        <f t="shared" si="1"/>
        <v>SI</v>
      </c>
      <c r="R67" s="145" t="s">
        <v>285</v>
      </c>
      <c r="S67" s="144" t="s">
        <v>286</v>
      </c>
    </row>
    <row r="68" spans="1:19">
      <c r="A68" s="145" t="s">
        <v>287</v>
      </c>
      <c r="B68" s="144" t="s">
        <v>288</v>
      </c>
      <c r="C68" s="157">
        <v>1200</v>
      </c>
      <c r="D68" s="157">
        <v>11763.56</v>
      </c>
      <c r="E68" s="157">
        <v>0</v>
      </c>
      <c r="F68" s="157">
        <v>12963.56</v>
      </c>
      <c r="G68" s="157">
        <v>0</v>
      </c>
      <c r="H68" s="157">
        <v>2280.4</v>
      </c>
      <c r="I68" s="157">
        <v>29.94</v>
      </c>
      <c r="J68" s="157">
        <v>410</v>
      </c>
      <c r="K68" s="157">
        <v>45.13</v>
      </c>
      <c r="L68" s="157">
        <v>0.09</v>
      </c>
      <c r="M68" s="157">
        <v>0</v>
      </c>
      <c r="N68" s="157">
        <v>0</v>
      </c>
      <c r="O68" s="157">
        <v>2765.56</v>
      </c>
      <c r="P68" s="157">
        <v>10198</v>
      </c>
      <c r="Q68" s="143" t="str">
        <f t="shared" si="1"/>
        <v>SI</v>
      </c>
      <c r="R68" s="145" t="s">
        <v>287</v>
      </c>
      <c r="S68" s="144" t="s">
        <v>288</v>
      </c>
    </row>
    <row r="69" spans="1:19">
      <c r="A69" s="145" t="s">
        <v>289</v>
      </c>
      <c r="B69" s="144" t="s">
        <v>290</v>
      </c>
      <c r="C69" s="157">
        <v>1200</v>
      </c>
      <c r="D69" s="157">
        <v>3955.9</v>
      </c>
      <c r="E69" s="157">
        <v>0</v>
      </c>
      <c r="F69" s="157">
        <v>5155.8999999999996</v>
      </c>
      <c r="G69" s="157">
        <v>0</v>
      </c>
      <c r="H69" s="157">
        <v>554.04</v>
      </c>
      <c r="I69" s="157">
        <v>29.79</v>
      </c>
      <c r="J69" s="157">
        <v>0</v>
      </c>
      <c r="K69" s="157">
        <v>45.13</v>
      </c>
      <c r="L69" s="158">
        <v>-0.06</v>
      </c>
      <c r="M69" s="157">
        <v>0</v>
      </c>
      <c r="N69" s="157">
        <v>0</v>
      </c>
      <c r="O69" s="157">
        <v>628.9</v>
      </c>
      <c r="P69" s="157">
        <v>4527</v>
      </c>
      <c r="Q69" s="143" t="str">
        <f t="shared" si="1"/>
        <v>SI</v>
      </c>
      <c r="R69" s="145" t="s">
        <v>289</v>
      </c>
      <c r="S69" s="144" t="s">
        <v>290</v>
      </c>
    </row>
    <row r="70" spans="1:19">
      <c r="A70" s="145" t="s">
        <v>291</v>
      </c>
      <c r="B70" s="144" t="s">
        <v>292</v>
      </c>
      <c r="C70" s="157">
        <v>1200</v>
      </c>
      <c r="D70" s="157">
        <v>2002.6</v>
      </c>
      <c r="E70" s="157">
        <v>0</v>
      </c>
      <c r="F70" s="157">
        <v>3202.6</v>
      </c>
      <c r="G70" s="157">
        <v>0</v>
      </c>
      <c r="H70" s="157">
        <v>119.3</v>
      </c>
      <c r="I70" s="157">
        <v>51.76</v>
      </c>
      <c r="J70" s="157">
        <v>300</v>
      </c>
      <c r="K70" s="157">
        <v>45.13</v>
      </c>
      <c r="L70" s="157">
        <v>0.01</v>
      </c>
      <c r="M70" s="157">
        <v>0</v>
      </c>
      <c r="N70" s="157">
        <v>0</v>
      </c>
      <c r="O70" s="157">
        <v>516.20000000000005</v>
      </c>
      <c r="P70" s="157">
        <v>2686.4</v>
      </c>
      <c r="Q70" s="143" t="str">
        <f t="shared" si="1"/>
        <v>SI</v>
      </c>
      <c r="R70" s="145" t="s">
        <v>291</v>
      </c>
      <c r="S70" s="144" t="s">
        <v>292</v>
      </c>
    </row>
    <row r="71" spans="1:19">
      <c r="A71" s="160" t="s">
        <v>264</v>
      </c>
      <c r="B71" s="152"/>
      <c r="C71" s="152" t="s">
        <v>265</v>
      </c>
      <c r="D71" s="152" t="s">
        <v>265</v>
      </c>
      <c r="E71" s="152" t="s">
        <v>265</v>
      </c>
      <c r="F71" s="152" t="s">
        <v>265</v>
      </c>
      <c r="G71" s="152" t="s">
        <v>265</v>
      </c>
      <c r="H71" s="152" t="s">
        <v>265</v>
      </c>
      <c r="I71" s="152" t="s">
        <v>265</v>
      </c>
      <c r="J71" s="152" t="s">
        <v>265</v>
      </c>
      <c r="K71" s="152" t="s">
        <v>265</v>
      </c>
      <c r="L71" s="152" t="s">
        <v>265</v>
      </c>
      <c r="M71" s="152" t="s">
        <v>265</v>
      </c>
      <c r="N71" s="152" t="s">
        <v>265</v>
      </c>
      <c r="O71" s="152" t="s">
        <v>265</v>
      </c>
      <c r="P71" s="152" t="s">
        <v>265</v>
      </c>
      <c r="R71" s="160" t="s">
        <v>264</v>
      </c>
      <c r="S71" s="152"/>
    </row>
    <row r="72" spans="1:19">
      <c r="C72" s="162">
        <v>16150.05</v>
      </c>
      <c r="D72" s="162">
        <v>54718.18</v>
      </c>
      <c r="E72" s="162">
        <v>2005.2</v>
      </c>
      <c r="F72" s="162">
        <v>72873.429999999993</v>
      </c>
      <c r="G72" s="163">
        <v>-115.47</v>
      </c>
      <c r="H72" s="162">
        <v>8759.2000000000007</v>
      </c>
      <c r="I72" s="162">
        <v>777</v>
      </c>
      <c r="J72" s="162">
        <v>4710</v>
      </c>
      <c r="K72" s="162">
        <v>541.55999999999995</v>
      </c>
      <c r="L72" s="163">
        <v>-0.04</v>
      </c>
      <c r="M72" s="162">
        <v>887.98</v>
      </c>
      <c r="N72" s="162">
        <v>0</v>
      </c>
      <c r="O72" s="162">
        <v>15560.23</v>
      </c>
      <c r="P72" s="162">
        <v>57313.2</v>
      </c>
    </row>
    <row r="74" spans="1:19">
      <c r="A74" s="159"/>
      <c r="B74" s="152"/>
      <c r="C74" s="152" t="s">
        <v>293</v>
      </c>
      <c r="D74" s="152" t="s">
        <v>293</v>
      </c>
      <c r="E74" s="152" t="s">
        <v>293</v>
      </c>
      <c r="F74" s="152" t="s">
        <v>293</v>
      </c>
      <c r="G74" s="152" t="s">
        <v>293</v>
      </c>
      <c r="H74" s="152" t="s">
        <v>293</v>
      </c>
      <c r="I74" s="152" t="s">
        <v>293</v>
      </c>
      <c r="J74" s="152" t="s">
        <v>293</v>
      </c>
      <c r="K74" s="152" t="s">
        <v>293</v>
      </c>
      <c r="L74" s="152" t="s">
        <v>293</v>
      </c>
      <c r="M74" s="152" t="s">
        <v>293</v>
      </c>
      <c r="N74" s="152" t="s">
        <v>293</v>
      </c>
      <c r="O74" s="152" t="s">
        <v>293</v>
      </c>
      <c r="P74" s="152" t="s">
        <v>293</v>
      </c>
    </row>
    <row r="75" spans="1:19">
      <c r="A75" s="160" t="s">
        <v>294</v>
      </c>
      <c r="B75" s="144" t="s">
        <v>161</v>
      </c>
      <c r="C75" s="162">
        <v>209107.6</v>
      </c>
      <c r="D75" s="162">
        <v>54718.18</v>
      </c>
      <c r="E75" s="162">
        <v>2005.2</v>
      </c>
      <c r="F75" s="162">
        <v>265830.98</v>
      </c>
      <c r="G75" s="163">
        <v>-477.78</v>
      </c>
      <c r="H75" s="162">
        <v>28508.21</v>
      </c>
      <c r="I75" s="162">
        <v>5901.81</v>
      </c>
      <c r="J75" s="162">
        <v>15535.03</v>
      </c>
      <c r="K75" s="162">
        <v>2346.7600000000002</v>
      </c>
      <c r="L75" s="163">
        <v>-0.03</v>
      </c>
      <c r="M75" s="162">
        <v>887.98</v>
      </c>
      <c r="N75" s="162">
        <v>2190</v>
      </c>
      <c r="O75" s="162">
        <v>54891.98</v>
      </c>
      <c r="P75" s="162">
        <v>210939</v>
      </c>
    </row>
    <row r="77" spans="1:19">
      <c r="C77" s="144" t="s">
        <v>161</v>
      </c>
      <c r="D77" s="144" t="s">
        <v>161</v>
      </c>
      <c r="E77" s="144" t="s">
        <v>161</v>
      </c>
      <c r="F77" s="144" t="s">
        <v>161</v>
      </c>
      <c r="G77" s="144" t="s">
        <v>161</v>
      </c>
      <c r="H77" s="144" t="s">
        <v>161</v>
      </c>
      <c r="I77" s="144" t="s">
        <v>161</v>
      </c>
      <c r="J77" s="144" t="s">
        <v>161</v>
      </c>
      <c r="K77" s="144" t="s">
        <v>161</v>
      </c>
      <c r="L77" s="144" t="s">
        <v>161</v>
      </c>
      <c r="M77" s="144" t="s">
        <v>161</v>
      </c>
      <c r="N77" s="144" t="s">
        <v>161</v>
      </c>
      <c r="O77" s="144" t="s">
        <v>161</v>
      </c>
      <c r="P77" s="144" t="s">
        <v>161</v>
      </c>
    </row>
    <row r="78" spans="1:19">
      <c r="A78" s="145" t="s">
        <v>161</v>
      </c>
      <c r="B78" s="144" t="s">
        <v>161</v>
      </c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0"/>
  <sheetViews>
    <sheetView topLeftCell="A22" workbookViewId="0">
      <selection activeCell="I36" sqref="I36"/>
    </sheetView>
  </sheetViews>
  <sheetFormatPr baseColWidth="10" defaultRowHeight="15"/>
  <cols>
    <col min="1" max="1" width="11.42578125" style="143"/>
    <col min="2" max="2" width="48.7109375" style="143" bestFit="1" customWidth="1"/>
    <col min="3" max="3" width="13.28515625" style="143" bestFit="1" customWidth="1"/>
    <col min="4" max="4" width="11.42578125" style="143"/>
    <col min="5" max="5" width="13.28515625" style="143" bestFit="1" customWidth="1"/>
    <col min="6" max="6" width="12.140625" style="143" bestFit="1" customWidth="1"/>
    <col min="7" max="7" width="12.140625" style="143" customWidth="1"/>
    <col min="8" max="8" width="13.140625" style="143" bestFit="1" customWidth="1"/>
    <col min="9" max="9" width="13.28515625" style="143" bestFit="1" customWidth="1"/>
    <col min="10" max="10" width="31.28515625" style="143" customWidth="1"/>
    <col min="11" max="16384" width="11.42578125" style="143"/>
  </cols>
  <sheetData>
    <row r="1" spans="1:9">
      <c r="A1" s="184" t="s">
        <v>160</v>
      </c>
      <c r="B1" s="150" t="s">
        <v>161</v>
      </c>
      <c r="C1" s="149"/>
    </row>
    <row r="2" spans="1:9" ht="18">
      <c r="A2" s="185" t="s">
        <v>162</v>
      </c>
      <c r="B2" s="181" t="s">
        <v>319</v>
      </c>
      <c r="C2" s="167"/>
    </row>
    <row r="3" spans="1:9" ht="15.75">
      <c r="B3" s="182" t="s">
        <v>164</v>
      </c>
      <c r="C3" s="149"/>
      <c r="D3" s="152"/>
    </row>
    <row r="4" spans="1:9">
      <c r="B4" s="183" t="str">
        <f>+FISCAL!B4</f>
        <v>Periodo 19 al 19 Quincenal del 01/10/2016 al 15/10/2016</v>
      </c>
      <c r="C4" s="149"/>
      <c r="D4" s="152"/>
    </row>
    <row r="5" spans="1:9">
      <c r="B5" s="151"/>
    </row>
    <row r="6" spans="1:9">
      <c r="B6" s="151" t="s">
        <v>167</v>
      </c>
    </row>
    <row r="7" spans="1:9">
      <c r="F7" s="144">
        <v>2</v>
      </c>
      <c r="G7" s="144"/>
    </row>
    <row r="8" spans="1:9" ht="34.5" thickBot="1">
      <c r="A8" s="142" t="s">
        <v>168</v>
      </c>
      <c r="B8" s="164" t="s">
        <v>169</v>
      </c>
      <c r="C8" s="164" t="s">
        <v>320</v>
      </c>
      <c r="D8" s="164" t="s">
        <v>320</v>
      </c>
      <c r="E8" s="165" t="s">
        <v>171</v>
      </c>
      <c r="F8" s="164" t="s">
        <v>321</v>
      </c>
      <c r="G8" s="164"/>
      <c r="H8" s="165" t="s">
        <v>176</v>
      </c>
      <c r="I8" s="166" t="s">
        <v>177</v>
      </c>
    </row>
    <row r="9" spans="1:9" ht="15.75" thickTop="1">
      <c r="A9" s="122"/>
    </row>
    <row r="11" spans="1:9">
      <c r="A11" s="156" t="s">
        <v>179</v>
      </c>
    </row>
    <row r="12" spans="1:9">
      <c r="A12" s="145" t="s">
        <v>180</v>
      </c>
      <c r="B12" s="144" t="s">
        <v>181</v>
      </c>
      <c r="C12" s="186">
        <f>+FACTURA!E12</f>
        <v>9200</v>
      </c>
      <c r="D12" s="186">
        <v>0</v>
      </c>
      <c r="E12" s="186">
        <f>SUM(C12:D12)</f>
        <v>9200</v>
      </c>
      <c r="F12" s="186">
        <f>+E12*0.1</f>
        <v>920</v>
      </c>
      <c r="G12" s="186">
        <v>0</v>
      </c>
      <c r="H12" s="186">
        <f>SUM(F12:G12)</f>
        <v>920</v>
      </c>
      <c r="I12" s="186">
        <f>+E12-H12</f>
        <v>8280</v>
      </c>
    </row>
    <row r="13" spans="1:9">
      <c r="A13" s="145" t="s">
        <v>182</v>
      </c>
      <c r="B13" s="144" t="s">
        <v>183</v>
      </c>
      <c r="C13" s="186">
        <f>+FACTURA!E13</f>
        <v>0</v>
      </c>
      <c r="D13" s="186">
        <v>0</v>
      </c>
      <c r="E13" s="186">
        <f t="shared" ref="E13:E49" si="0">SUM(C13:D13)</f>
        <v>0</v>
      </c>
      <c r="F13" s="186">
        <f t="shared" ref="F13:F52" si="1">+E13*0.1</f>
        <v>0</v>
      </c>
      <c r="G13" s="186">
        <v>0</v>
      </c>
      <c r="H13" s="186">
        <f t="shared" ref="H13:H53" si="2">SUM(F13:G13)</f>
        <v>0</v>
      </c>
      <c r="I13" s="186">
        <f t="shared" ref="I13:I49" si="3">+E13-H13</f>
        <v>0</v>
      </c>
    </row>
    <row r="14" spans="1:9">
      <c r="A14" s="145" t="s">
        <v>184</v>
      </c>
      <c r="B14" s="144" t="s">
        <v>185</v>
      </c>
      <c r="C14" s="186">
        <f>+FACTURA!E14</f>
        <v>1617</v>
      </c>
      <c r="D14" s="186">
        <v>0</v>
      </c>
      <c r="E14" s="186">
        <f t="shared" si="0"/>
        <v>1617</v>
      </c>
      <c r="F14" s="186">
        <f t="shared" si="1"/>
        <v>161.70000000000002</v>
      </c>
      <c r="G14" s="186">
        <v>0</v>
      </c>
      <c r="H14" s="186">
        <f t="shared" si="2"/>
        <v>161.70000000000002</v>
      </c>
      <c r="I14" s="186">
        <f t="shared" si="3"/>
        <v>1455.3</v>
      </c>
    </row>
    <row r="15" spans="1:9">
      <c r="A15" s="145" t="s">
        <v>186</v>
      </c>
      <c r="B15" s="144" t="s">
        <v>187</v>
      </c>
      <c r="C15" s="186">
        <f>+FACTURA!E15</f>
        <v>3160</v>
      </c>
      <c r="D15" s="186">
        <v>0</v>
      </c>
      <c r="E15" s="186">
        <f t="shared" si="0"/>
        <v>3160</v>
      </c>
      <c r="F15" s="186">
        <f t="shared" si="1"/>
        <v>316</v>
      </c>
      <c r="G15" s="186">
        <v>0</v>
      </c>
      <c r="H15" s="186">
        <f t="shared" si="2"/>
        <v>316</v>
      </c>
      <c r="I15" s="186">
        <f t="shared" si="3"/>
        <v>2844</v>
      </c>
    </row>
    <row r="16" spans="1:9">
      <c r="A16" s="145" t="s">
        <v>188</v>
      </c>
      <c r="B16" s="144" t="s">
        <v>189</v>
      </c>
      <c r="C16" s="186">
        <f>+FACTURA!E16</f>
        <v>6913.67</v>
      </c>
      <c r="D16" s="186">
        <v>0</v>
      </c>
      <c r="E16" s="186">
        <f t="shared" si="0"/>
        <v>6913.67</v>
      </c>
      <c r="F16" s="186">
        <f t="shared" si="1"/>
        <v>691.36700000000008</v>
      </c>
      <c r="G16" s="186">
        <v>0</v>
      </c>
      <c r="H16" s="186">
        <f t="shared" si="2"/>
        <v>691.36700000000008</v>
      </c>
      <c r="I16" s="186">
        <f t="shared" si="3"/>
        <v>6222.3029999999999</v>
      </c>
    </row>
    <row r="17" spans="1:9">
      <c r="A17" s="145" t="s">
        <v>190</v>
      </c>
      <c r="B17" s="144" t="s">
        <v>191</v>
      </c>
      <c r="C17" s="186">
        <f>+FACTURA!E17</f>
        <v>0</v>
      </c>
      <c r="D17" s="186">
        <v>0</v>
      </c>
      <c r="E17" s="186">
        <f t="shared" si="0"/>
        <v>0</v>
      </c>
      <c r="F17" s="186">
        <f t="shared" si="1"/>
        <v>0</v>
      </c>
      <c r="G17" s="186">
        <v>0</v>
      </c>
      <c r="H17" s="186">
        <f t="shared" si="2"/>
        <v>0</v>
      </c>
      <c r="I17" s="186">
        <f t="shared" si="3"/>
        <v>0</v>
      </c>
    </row>
    <row r="18" spans="1:9">
      <c r="A18" s="145" t="s">
        <v>192</v>
      </c>
      <c r="B18" s="144" t="s">
        <v>193</v>
      </c>
      <c r="C18" s="186">
        <f>+FACTURA!E18</f>
        <v>0</v>
      </c>
      <c r="D18" s="186">
        <v>0</v>
      </c>
      <c r="E18" s="186">
        <f t="shared" si="0"/>
        <v>0</v>
      </c>
      <c r="F18" s="186">
        <f t="shared" si="1"/>
        <v>0</v>
      </c>
      <c r="G18" s="186">
        <v>0</v>
      </c>
      <c r="H18" s="186">
        <f t="shared" si="2"/>
        <v>0</v>
      </c>
      <c r="I18" s="186">
        <f t="shared" si="3"/>
        <v>0</v>
      </c>
    </row>
    <row r="19" spans="1:9">
      <c r="A19" s="145" t="s">
        <v>194</v>
      </c>
      <c r="B19" s="144" t="s">
        <v>195</v>
      </c>
      <c r="C19" s="186">
        <f>+FACTURA!E19</f>
        <v>0</v>
      </c>
      <c r="D19" s="186">
        <v>0</v>
      </c>
      <c r="E19" s="186">
        <f t="shared" si="0"/>
        <v>0</v>
      </c>
      <c r="F19" s="186">
        <f t="shared" si="1"/>
        <v>0</v>
      </c>
      <c r="G19" s="186">
        <v>0</v>
      </c>
      <c r="H19" s="186">
        <f t="shared" si="2"/>
        <v>0</v>
      </c>
      <c r="I19" s="186">
        <f t="shared" si="3"/>
        <v>0</v>
      </c>
    </row>
    <row r="20" spans="1:9">
      <c r="A20" s="145" t="s">
        <v>196</v>
      </c>
      <c r="B20" s="144" t="s">
        <v>197</v>
      </c>
      <c r="C20" s="186">
        <f>+FACTURA!E20</f>
        <v>0</v>
      </c>
      <c r="D20" s="186">
        <v>0</v>
      </c>
      <c r="E20" s="186">
        <f t="shared" si="0"/>
        <v>0</v>
      </c>
      <c r="F20" s="186">
        <f t="shared" si="1"/>
        <v>0</v>
      </c>
      <c r="G20" s="186">
        <v>0</v>
      </c>
      <c r="H20" s="186">
        <f t="shared" si="2"/>
        <v>0</v>
      </c>
      <c r="I20" s="186">
        <f t="shared" si="3"/>
        <v>0</v>
      </c>
    </row>
    <row r="21" spans="1:9">
      <c r="A21" s="145" t="s">
        <v>198</v>
      </c>
      <c r="B21" s="144" t="s">
        <v>199</v>
      </c>
      <c r="C21" s="186">
        <f>+FACTURA!E21</f>
        <v>28400</v>
      </c>
      <c r="D21" s="186">
        <v>0</v>
      </c>
      <c r="E21" s="186">
        <f t="shared" si="0"/>
        <v>28400</v>
      </c>
      <c r="F21" s="186">
        <f t="shared" si="1"/>
        <v>2840</v>
      </c>
      <c r="G21" s="186">
        <v>0</v>
      </c>
      <c r="H21" s="186">
        <f t="shared" si="2"/>
        <v>2840</v>
      </c>
      <c r="I21" s="186">
        <f t="shared" si="3"/>
        <v>25560</v>
      </c>
    </row>
    <row r="22" spans="1:9">
      <c r="A22" s="145" t="s">
        <v>200</v>
      </c>
      <c r="B22" s="144" t="s">
        <v>201</v>
      </c>
      <c r="C22" s="186">
        <f>+FACTURA!E22</f>
        <v>0</v>
      </c>
      <c r="D22" s="186">
        <v>0</v>
      </c>
      <c r="E22" s="186">
        <f t="shared" si="0"/>
        <v>0</v>
      </c>
      <c r="F22" s="186">
        <f t="shared" si="1"/>
        <v>0</v>
      </c>
      <c r="G22" s="186">
        <v>0</v>
      </c>
      <c r="H22" s="186">
        <f t="shared" si="2"/>
        <v>0</v>
      </c>
      <c r="I22" s="186">
        <f t="shared" si="3"/>
        <v>0</v>
      </c>
    </row>
    <row r="23" spans="1:9">
      <c r="A23" s="145" t="s">
        <v>202</v>
      </c>
      <c r="B23" s="144" t="s">
        <v>203</v>
      </c>
      <c r="C23" s="186">
        <f>+FACTURA!E23</f>
        <v>0</v>
      </c>
      <c r="D23" s="186">
        <v>0</v>
      </c>
      <c r="E23" s="186">
        <f t="shared" si="0"/>
        <v>0</v>
      </c>
      <c r="F23" s="186">
        <f t="shared" si="1"/>
        <v>0</v>
      </c>
      <c r="G23" s="186">
        <v>0</v>
      </c>
      <c r="H23" s="186">
        <f t="shared" si="2"/>
        <v>0</v>
      </c>
      <c r="I23" s="186">
        <f t="shared" si="3"/>
        <v>0</v>
      </c>
    </row>
    <row r="24" spans="1:9" s="192" customFormat="1">
      <c r="A24" s="188" t="s">
        <v>204</v>
      </c>
      <c r="B24" s="189" t="s">
        <v>205</v>
      </c>
      <c r="C24" s="211">
        <v>0</v>
      </c>
      <c r="D24" s="211">
        <v>0</v>
      </c>
      <c r="E24" s="211">
        <f t="shared" si="0"/>
        <v>0</v>
      </c>
      <c r="F24" s="211">
        <f t="shared" si="1"/>
        <v>0</v>
      </c>
      <c r="G24" s="211">
        <v>0</v>
      </c>
      <c r="H24" s="211">
        <f t="shared" si="2"/>
        <v>0</v>
      </c>
      <c r="I24" s="211">
        <f t="shared" si="3"/>
        <v>0</v>
      </c>
    </row>
    <row r="25" spans="1:9">
      <c r="A25" s="145" t="s">
        <v>206</v>
      </c>
      <c r="B25" s="144" t="s">
        <v>207</v>
      </c>
      <c r="C25" s="186">
        <f>+FACTURA!E25</f>
        <v>0</v>
      </c>
      <c r="D25" s="186">
        <v>0</v>
      </c>
      <c r="E25" s="186">
        <f t="shared" si="0"/>
        <v>0</v>
      </c>
      <c r="F25" s="186">
        <f t="shared" si="1"/>
        <v>0</v>
      </c>
      <c r="G25" s="186">
        <v>0</v>
      </c>
      <c r="H25" s="186">
        <f t="shared" si="2"/>
        <v>0</v>
      </c>
      <c r="I25" s="186">
        <f t="shared" si="3"/>
        <v>0</v>
      </c>
    </row>
    <row r="26" spans="1:9">
      <c r="A26" s="145" t="s">
        <v>208</v>
      </c>
      <c r="B26" s="144" t="s">
        <v>209</v>
      </c>
      <c r="C26" s="186">
        <f>+FACTURA!E26</f>
        <v>8313.76</v>
      </c>
      <c r="D26" s="186">
        <v>0</v>
      </c>
      <c r="E26" s="186">
        <f t="shared" si="0"/>
        <v>8313.76</v>
      </c>
      <c r="F26" s="186">
        <f t="shared" si="1"/>
        <v>831.37600000000009</v>
      </c>
      <c r="G26" s="186">
        <v>0</v>
      </c>
      <c r="H26" s="186">
        <f t="shared" si="2"/>
        <v>831.37600000000009</v>
      </c>
      <c r="I26" s="186">
        <f t="shared" si="3"/>
        <v>7482.384</v>
      </c>
    </row>
    <row r="27" spans="1:9">
      <c r="A27" s="145" t="s">
        <v>210</v>
      </c>
      <c r="B27" s="144" t="s">
        <v>211</v>
      </c>
      <c r="C27" s="186">
        <f>+FACTURA!E27</f>
        <v>13350</v>
      </c>
      <c r="D27" s="186">
        <v>0</v>
      </c>
      <c r="E27" s="186">
        <f t="shared" si="0"/>
        <v>13350</v>
      </c>
      <c r="F27" s="186">
        <f t="shared" si="1"/>
        <v>1335</v>
      </c>
      <c r="G27" s="186">
        <v>0</v>
      </c>
      <c r="H27" s="186">
        <f t="shared" si="2"/>
        <v>1335</v>
      </c>
      <c r="I27" s="186">
        <f t="shared" si="3"/>
        <v>12015</v>
      </c>
    </row>
    <row r="28" spans="1:9" s="192" customFormat="1">
      <c r="A28" s="188" t="s">
        <v>212</v>
      </c>
      <c r="B28" s="189" t="s">
        <v>213</v>
      </c>
      <c r="C28" s="211">
        <v>0</v>
      </c>
      <c r="D28" s="211">
        <v>0</v>
      </c>
      <c r="E28" s="211">
        <f t="shared" si="0"/>
        <v>0</v>
      </c>
      <c r="F28" s="211">
        <f t="shared" si="1"/>
        <v>0</v>
      </c>
      <c r="G28" s="211">
        <v>0</v>
      </c>
      <c r="H28" s="211">
        <f t="shared" si="2"/>
        <v>0</v>
      </c>
      <c r="I28" s="211">
        <f t="shared" si="3"/>
        <v>0</v>
      </c>
    </row>
    <row r="29" spans="1:9">
      <c r="A29" s="145" t="s">
        <v>214</v>
      </c>
      <c r="B29" s="144" t="s">
        <v>215</v>
      </c>
      <c r="C29" s="186">
        <f>+FACTURA!E29</f>
        <v>4214</v>
      </c>
      <c r="D29" s="186">
        <v>0</v>
      </c>
      <c r="E29" s="186">
        <f t="shared" si="0"/>
        <v>4214</v>
      </c>
      <c r="F29" s="186">
        <f t="shared" si="1"/>
        <v>421.40000000000003</v>
      </c>
      <c r="G29" s="186">
        <v>0</v>
      </c>
      <c r="H29" s="186">
        <f t="shared" si="2"/>
        <v>421.40000000000003</v>
      </c>
      <c r="I29" s="186">
        <f t="shared" si="3"/>
        <v>3792.6</v>
      </c>
    </row>
    <row r="30" spans="1:9">
      <c r="A30" s="145" t="s">
        <v>216</v>
      </c>
      <c r="B30" s="144" t="s">
        <v>217</v>
      </c>
      <c r="C30" s="186">
        <f>+FACTURA!E30</f>
        <v>15000</v>
      </c>
      <c r="D30" s="186">
        <v>0</v>
      </c>
      <c r="E30" s="186">
        <f t="shared" si="0"/>
        <v>15000</v>
      </c>
      <c r="F30" s="186">
        <f t="shared" si="1"/>
        <v>1500</v>
      </c>
      <c r="G30" s="186">
        <v>1500</v>
      </c>
      <c r="H30" s="186">
        <f t="shared" si="2"/>
        <v>3000</v>
      </c>
      <c r="I30" s="186">
        <f t="shared" si="3"/>
        <v>12000</v>
      </c>
    </row>
    <row r="31" spans="1:9">
      <c r="A31" s="145" t="s">
        <v>218</v>
      </c>
      <c r="B31" s="144" t="s">
        <v>219</v>
      </c>
      <c r="C31" s="186">
        <f>+FACTURA!E31</f>
        <v>12394.4</v>
      </c>
      <c r="D31" s="186">
        <v>0</v>
      </c>
      <c r="E31" s="186">
        <f t="shared" si="0"/>
        <v>12394.4</v>
      </c>
      <c r="F31" s="186">
        <f t="shared" si="1"/>
        <v>1239.44</v>
      </c>
      <c r="G31" s="186">
        <v>0</v>
      </c>
      <c r="H31" s="186">
        <f t="shared" si="2"/>
        <v>1239.44</v>
      </c>
      <c r="I31" s="186">
        <f t="shared" si="3"/>
        <v>11154.96</v>
      </c>
    </row>
    <row r="32" spans="1:9">
      <c r="A32" s="145" t="s">
        <v>220</v>
      </c>
      <c r="B32" s="144" t="s">
        <v>221</v>
      </c>
      <c r="C32" s="186">
        <f>+FACTURA!E32</f>
        <v>0</v>
      </c>
      <c r="D32" s="186">
        <v>0</v>
      </c>
      <c r="E32" s="186">
        <f t="shared" si="0"/>
        <v>0</v>
      </c>
      <c r="F32" s="186">
        <f t="shared" si="1"/>
        <v>0</v>
      </c>
      <c r="G32" s="186">
        <v>0</v>
      </c>
      <c r="H32" s="186">
        <f t="shared" si="2"/>
        <v>0</v>
      </c>
      <c r="I32" s="186">
        <f t="shared" si="3"/>
        <v>0</v>
      </c>
    </row>
    <row r="33" spans="1:9">
      <c r="A33" s="145" t="s">
        <v>222</v>
      </c>
      <c r="B33" s="144" t="s">
        <v>223</v>
      </c>
      <c r="C33" s="186">
        <f>+FACTURA!E33</f>
        <v>1776</v>
      </c>
      <c r="D33" s="186">
        <v>0</v>
      </c>
      <c r="E33" s="186">
        <f t="shared" si="0"/>
        <v>1776</v>
      </c>
      <c r="F33" s="186">
        <f t="shared" si="1"/>
        <v>177.60000000000002</v>
      </c>
      <c r="G33" s="186">
        <v>0</v>
      </c>
      <c r="H33" s="186">
        <f t="shared" si="2"/>
        <v>177.60000000000002</v>
      </c>
      <c r="I33" s="186">
        <f t="shared" si="3"/>
        <v>1598.4</v>
      </c>
    </row>
    <row r="34" spans="1:9">
      <c r="A34" s="145" t="s">
        <v>224</v>
      </c>
      <c r="B34" s="144" t="s">
        <v>225</v>
      </c>
      <c r="C34" s="186">
        <f>+FACTURA!E34</f>
        <v>0</v>
      </c>
      <c r="D34" s="186">
        <v>0</v>
      </c>
      <c r="E34" s="186">
        <f t="shared" si="0"/>
        <v>0</v>
      </c>
      <c r="F34" s="186">
        <f t="shared" si="1"/>
        <v>0</v>
      </c>
      <c r="G34" s="186">
        <v>0</v>
      </c>
      <c r="H34" s="186">
        <f t="shared" si="2"/>
        <v>0</v>
      </c>
      <c r="I34" s="186">
        <f t="shared" si="3"/>
        <v>0</v>
      </c>
    </row>
    <row r="35" spans="1:9">
      <c r="A35" s="145" t="s">
        <v>226</v>
      </c>
      <c r="B35" s="144" t="s">
        <v>227</v>
      </c>
      <c r="C35" s="186">
        <f>+FACTURA!E35</f>
        <v>1735</v>
      </c>
      <c r="D35" s="186">
        <v>0</v>
      </c>
      <c r="E35" s="186">
        <f t="shared" si="0"/>
        <v>1735</v>
      </c>
      <c r="F35" s="186">
        <f t="shared" si="1"/>
        <v>173.5</v>
      </c>
      <c r="G35" s="186">
        <v>0</v>
      </c>
      <c r="H35" s="186">
        <f t="shared" si="2"/>
        <v>173.5</v>
      </c>
      <c r="I35" s="186">
        <f t="shared" si="3"/>
        <v>1561.5</v>
      </c>
    </row>
    <row r="36" spans="1:9">
      <c r="A36" s="145" t="s">
        <v>228</v>
      </c>
      <c r="B36" s="144" t="s">
        <v>229</v>
      </c>
      <c r="C36" s="186">
        <f>+FACTURA!E36</f>
        <v>2145</v>
      </c>
      <c r="D36" s="186">
        <v>0</v>
      </c>
      <c r="E36" s="186">
        <f t="shared" si="0"/>
        <v>2145</v>
      </c>
      <c r="F36" s="186">
        <f t="shared" si="1"/>
        <v>214.5</v>
      </c>
      <c r="G36" s="186">
        <v>1644</v>
      </c>
      <c r="H36" s="186">
        <f t="shared" si="2"/>
        <v>1858.5</v>
      </c>
      <c r="I36" s="186">
        <f t="shared" si="3"/>
        <v>286.5</v>
      </c>
    </row>
    <row r="37" spans="1:9">
      <c r="A37" s="145" t="s">
        <v>230</v>
      </c>
      <c r="B37" s="144" t="s">
        <v>231</v>
      </c>
      <c r="C37" s="186">
        <f>+FACTURA!E37</f>
        <v>1776</v>
      </c>
      <c r="D37" s="186">
        <v>0</v>
      </c>
      <c r="E37" s="186">
        <f t="shared" si="0"/>
        <v>1776</v>
      </c>
      <c r="F37" s="186">
        <f t="shared" si="1"/>
        <v>177.60000000000002</v>
      </c>
      <c r="G37" s="186">
        <v>0</v>
      </c>
      <c r="H37" s="186">
        <f t="shared" si="2"/>
        <v>177.60000000000002</v>
      </c>
      <c r="I37" s="186">
        <f t="shared" si="3"/>
        <v>1598.4</v>
      </c>
    </row>
    <row r="38" spans="1:9">
      <c r="A38" s="145" t="s">
        <v>232</v>
      </c>
      <c r="B38" s="144" t="s">
        <v>233</v>
      </c>
      <c r="C38" s="186">
        <f>+FACTURA!E38</f>
        <v>11503.77</v>
      </c>
      <c r="D38" s="186">
        <v>0</v>
      </c>
      <c r="E38" s="186">
        <f t="shared" si="0"/>
        <v>11503.77</v>
      </c>
      <c r="F38" s="186">
        <f t="shared" si="1"/>
        <v>1150.3770000000002</v>
      </c>
      <c r="G38" s="186">
        <v>0</v>
      </c>
      <c r="H38" s="186">
        <f t="shared" si="2"/>
        <v>1150.3770000000002</v>
      </c>
      <c r="I38" s="186">
        <f t="shared" si="3"/>
        <v>10353.393</v>
      </c>
    </row>
    <row r="39" spans="1:9">
      <c r="A39" s="145" t="s">
        <v>234</v>
      </c>
      <c r="B39" s="144" t="s">
        <v>235</v>
      </c>
      <c r="C39" s="186">
        <f>+FACTURA!E39</f>
        <v>0</v>
      </c>
      <c r="D39" s="186">
        <v>0</v>
      </c>
      <c r="E39" s="186">
        <f t="shared" si="0"/>
        <v>0</v>
      </c>
      <c r="F39" s="186">
        <f t="shared" si="1"/>
        <v>0</v>
      </c>
      <c r="G39" s="186">
        <v>0</v>
      </c>
      <c r="H39" s="186">
        <f t="shared" si="2"/>
        <v>0</v>
      </c>
      <c r="I39" s="186">
        <f t="shared" si="3"/>
        <v>0</v>
      </c>
    </row>
    <row r="40" spans="1:9">
      <c r="A40" s="145" t="s">
        <v>236</v>
      </c>
      <c r="B40" s="144" t="s">
        <v>237</v>
      </c>
      <c r="C40" s="186">
        <f>+FACTURA!E40</f>
        <v>4582.74</v>
      </c>
      <c r="D40" s="186">
        <v>0</v>
      </c>
      <c r="E40" s="186">
        <f t="shared" si="0"/>
        <v>4582.74</v>
      </c>
      <c r="F40" s="186">
        <f t="shared" si="1"/>
        <v>458.274</v>
      </c>
      <c r="G40" s="186">
        <v>0</v>
      </c>
      <c r="H40" s="186">
        <f t="shared" si="2"/>
        <v>458.274</v>
      </c>
      <c r="I40" s="186">
        <f t="shared" si="3"/>
        <v>4124.4659999999994</v>
      </c>
    </row>
    <row r="41" spans="1:9">
      <c r="A41" s="145" t="s">
        <v>238</v>
      </c>
      <c r="B41" s="144" t="s">
        <v>239</v>
      </c>
      <c r="C41" s="186">
        <f>+FACTURA!E41</f>
        <v>20447.07</v>
      </c>
      <c r="D41" s="186">
        <v>0</v>
      </c>
      <c r="E41" s="186">
        <f t="shared" si="0"/>
        <v>20447.07</v>
      </c>
      <c r="F41" s="186">
        <f t="shared" si="1"/>
        <v>2044.7070000000001</v>
      </c>
      <c r="G41" s="186">
        <v>0</v>
      </c>
      <c r="H41" s="186">
        <f t="shared" si="2"/>
        <v>2044.7070000000001</v>
      </c>
      <c r="I41" s="186">
        <f t="shared" si="3"/>
        <v>18402.363000000001</v>
      </c>
    </row>
    <row r="42" spans="1:9">
      <c r="A42" s="145" t="s">
        <v>240</v>
      </c>
      <c r="B42" s="144" t="s">
        <v>241</v>
      </c>
      <c r="C42" s="186">
        <f>+FACTURA!E42</f>
        <v>0</v>
      </c>
      <c r="D42" s="186">
        <v>0</v>
      </c>
      <c r="E42" s="186">
        <f t="shared" si="0"/>
        <v>0</v>
      </c>
      <c r="F42" s="186">
        <f t="shared" si="1"/>
        <v>0</v>
      </c>
      <c r="G42" s="186">
        <v>0</v>
      </c>
      <c r="H42" s="186">
        <f t="shared" si="2"/>
        <v>0</v>
      </c>
      <c r="I42" s="186">
        <f t="shared" si="3"/>
        <v>0</v>
      </c>
    </row>
    <row r="43" spans="1:9">
      <c r="A43" s="145" t="s">
        <v>242</v>
      </c>
      <c r="B43" s="144" t="s">
        <v>243</v>
      </c>
      <c r="C43" s="186">
        <f>+FACTURA!E43</f>
        <v>30076.21</v>
      </c>
      <c r="D43" s="186">
        <v>0</v>
      </c>
      <c r="E43" s="186">
        <f t="shared" si="0"/>
        <v>30076.21</v>
      </c>
      <c r="F43" s="186">
        <f t="shared" si="1"/>
        <v>3007.6210000000001</v>
      </c>
      <c r="G43" s="186">
        <v>0</v>
      </c>
      <c r="H43" s="186">
        <f t="shared" si="2"/>
        <v>3007.6210000000001</v>
      </c>
      <c r="I43" s="186">
        <f t="shared" si="3"/>
        <v>27068.589</v>
      </c>
    </row>
    <row r="44" spans="1:9">
      <c r="A44" s="145" t="s">
        <v>244</v>
      </c>
      <c r="B44" s="144" t="s">
        <v>245</v>
      </c>
      <c r="C44" s="186">
        <f>+FACTURA!E44</f>
        <v>1000</v>
      </c>
      <c r="D44" s="186">
        <v>0</v>
      </c>
      <c r="E44" s="186">
        <f t="shared" si="0"/>
        <v>1000</v>
      </c>
      <c r="F44" s="186">
        <f t="shared" si="1"/>
        <v>100</v>
      </c>
      <c r="G44" s="186">
        <v>0</v>
      </c>
      <c r="H44" s="186">
        <f t="shared" si="2"/>
        <v>100</v>
      </c>
      <c r="I44" s="186">
        <f t="shared" si="3"/>
        <v>900</v>
      </c>
    </row>
    <row r="45" spans="1:9">
      <c r="A45" s="145" t="s">
        <v>246</v>
      </c>
      <c r="B45" s="144" t="s">
        <v>247</v>
      </c>
      <c r="C45" s="186">
        <f>+FACTURA!E45</f>
        <v>11912.12</v>
      </c>
      <c r="D45" s="186">
        <v>0</v>
      </c>
      <c r="E45" s="186">
        <f t="shared" si="0"/>
        <v>11912.12</v>
      </c>
      <c r="F45" s="186">
        <f t="shared" si="1"/>
        <v>1191.2120000000002</v>
      </c>
      <c r="G45" s="186">
        <v>0</v>
      </c>
      <c r="H45" s="186">
        <f t="shared" si="2"/>
        <v>1191.2120000000002</v>
      </c>
      <c r="I45" s="186">
        <f t="shared" si="3"/>
        <v>10720.908000000001</v>
      </c>
    </row>
    <row r="46" spans="1:9">
      <c r="A46" s="145" t="s">
        <v>248</v>
      </c>
      <c r="B46" s="144" t="s">
        <v>249</v>
      </c>
      <c r="C46" s="186">
        <f>+FACTURA!E46</f>
        <v>14605.34</v>
      </c>
      <c r="D46" s="186">
        <v>0</v>
      </c>
      <c r="E46" s="186">
        <f t="shared" si="0"/>
        <v>14605.34</v>
      </c>
      <c r="F46" s="186">
        <f t="shared" si="1"/>
        <v>1460.5340000000001</v>
      </c>
      <c r="G46" s="186">
        <v>0</v>
      </c>
      <c r="H46" s="186">
        <f t="shared" si="2"/>
        <v>1460.5340000000001</v>
      </c>
      <c r="I46" s="186">
        <f t="shared" si="3"/>
        <v>13144.806</v>
      </c>
    </row>
    <row r="47" spans="1:9">
      <c r="A47" s="145" t="s">
        <v>250</v>
      </c>
      <c r="B47" s="144" t="s">
        <v>251</v>
      </c>
      <c r="C47" s="186">
        <f>+FACTURA!E47</f>
        <v>6250</v>
      </c>
      <c r="D47" s="186">
        <v>0</v>
      </c>
      <c r="E47" s="186">
        <f t="shared" si="0"/>
        <v>6250</v>
      </c>
      <c r="F47" s="186">
        <f t="shared" si="1"/>
        <v>625</v>
      </c>
      <c r="G47" s="186">
        <v>625</v>
      </c>
      <c r="H47" s="186">
        <f t="shared" si="2"/>
        <v>1250</v>
      </c>
      <c r="I47" s="186">
        <f t="shared" si="3"/>
        <v>5000</v>
      </c>
    </row>
    <row r="48" spans="1:9">
      <c r="A48" s="145" t="s">
        <v>252</v>
      </c>
      <c r="B48" s="144" t="s">
        <v>253</v>
      </c>
      <c r="C48" s="186">
        <f>+FACTURA!E48</f>
        <v>865</v>
      </c>
      <c r="D48" s="186">
        <v>0</v>
      </c>
      <c r="E48" s="186">
        <f t="shared" si="0"/>
        <v>865</v>
      </c>
      <c r="F48" s="186">
        <f t="shared" si="1"/>
        <v>86.5</v>
      </c>
      <c r="G48" s="186">
        <v>0</v>
      </c>
      <c r="H48" s="186">
        <f t="shared" si="2"/>
        <v>86.5</v>
      </c>
      <c r="I48" s="186">
        <f t="shared" si="3"/>
        <v>778.5</v>
      </c>
    </row>
    <row r="49" spans="1:9">
      <c r="A49" s="145" t="s">
        <v>254</v>
      </c>
      <c r="B49" s="144" t="s">
        <v>255</v>
      </c>
      <c r="C49" s="186">
        <f>+FACTURA!E49</f>
        <v>0</v>
      </c>
      <c r="D49" s="186">
        <v>0</v>
      </c>
      <c r="E49" s="186">
        <f t="shared" si="0"/>
        <v>0</v>
      </c>
      <c r="F49" s="186">
        <f t="shared" si="1"/>
        <v>0</v>
      </c>
      <c r="G49" s="186">
        <v>0</v>
      </c>
      <c r="H49" s="186">
        <f t="shared" si="2"/>
        <v>0</v>
      </c>
      <c r="I49" s="186">
        <f t="shared" si="3"/>
        <v>0</v>
      </c>
    </row>
    <row r="50" spans="1:9">
      <c r="A50" s="145" t="s">
        <v>256</v>
      </c>
      <c r="B50" s="144" t="s">
        <v>257</v>
      </c>
      <c r="C50" s="186">
        <f>+FACTURA!E50</f>
        <v>11763.56</v>
      </c>
      <c r="D50" s="186">
        <v>0</v>
      </c>
      <c r="E50" s="186">
        <f>SUM(C50:D50)</f>
        <v>11763.56</v>
      </c>
      <c r="F50" s="186">
        <f>+E50*0.1</f>
        <v>1176.356</v>
      </c>
      <c r="G50" s="186">
        <v>0</v>
      </c>
      <c r="H50" s="186">
        <f t="shared" si="2"/>
        <v>1176.356</v>
      </c>
      <c r="I50" s="186">
        <f>+E50-H50</f>
        <v>10587.204</v>
      </c>
    </row>
    <row r="51" spans="1:9">
      <c r="A51" s="145" t="s">
        <v>258</v>
      </c>
      <c r="B51" s="144" t="s">
        <v>259</v>
      </c>
      <c r="C51" s="186">
        <f>+FACTURA!E51</f>
        <v>8550.98</v>
      </c>
      <c r="D51" s="186">
        <v>0</v>
      </c>
      <c r="E51" s="186">
        <f>SUM(C51:D51)</f>
        <v>8550.98</v>
      </c>
      <c r="F51" s="186">
        <f t="shared" si="1"/>
        <v>855.09799999999996</v>
      </c>
      <c r="G51" s="186">
        <v>0</v>
      </c>
      <c r="H51" s="186">
        <f t="shared" si="2"/>
        <v>855.09799999999996</v>
      </c>
      <c r="I51" s="186">
        <f>+E51-H51</f>
        <v>7695.8819999999996</v>
      </c>
    </row>
    <row r="52" spans="1:9">
      <c r="A52" s="145" t="s">
        <v>260</v>
      </c>
      <c r="B52" s="144" t="s">
        <v>261</v>
      </c>
      <c r="C52" s="186">
        <f>+FACTURA!E52</f>
        <v>11893.38</v>
      </c>
      <c r="D52" s="186">
        <v>0</v>
      </c>
      <c r="E52" s="186">
        <f>SUM(C52:D52)</f>
        <v>11893.38</v>
      </c>
      <c r="F52" s="186">
        <f t="shared" si="1"/>
        <v>1189.338</v>
      </c>
      <c r="G52" s="186">
        <v>0</v>
      </c>
      <c r="H52" s="186">
        <f t="shared" si="2"/>
        <v>1189.338</v>
      </c>
      <c r="I52" s="186">
        <f>+E52-H52</f>
        <v>10704.041999999999</v>
      </c>
    </row>
    <row r="53" spans="1:9">
      <c r="A53" s="145" t="s">
        <v>262</v>
      </c>
      <c r="B53" s="144" t="s">
        <v>263</v>
      </c>
      <c r="C53" s="186">
        <f>+FACTURA!E53</f>
        <v>0</v>
      </c>
      <c r="D53" s="186">
        <v>0</v>
      </c>
      <c r="E53" s="186">
        <f>SUM(C53:D53)</f>
        <v>0</v>
      </c>
      <c r="F53" s="186">
        <f>+E53*0.1</f>
        <v>0</v>
      </c>
      <c r="G53" s="186">
        <v>0</v>
      </c>
      <c r="H53" s="186">
        <f t="shared" si="2"/>
        <v>0</v>
      </c>
      <c r="I53" s="186">
        <f>+E53-H53</f>
        <v>0</v>
      </c>
    </row>
    <row r="54" spans="1:9" ht="16.5" thickBot="1">
      <c r="A54" s="160" t="s">
        <v>264</v>
      </c>
      <c r="B54" s="152"/>
      <c r="C54" s="187">
        <f>SUM(C12:C53)</f>
        <v>243445</v>
      </c>
      <c r="D54" s="187">
        <f t="shared" ref="D54:I54" si="4">SUM(D12:D53)</f>
        <v>0</v>
      </c>
      <c r="E54" s="187">
        <f t="shared" si="4"/>
        <v>243445</v>
      </c>
      <c r="F54" s="187">
        <f t="shared" si="4"/>
        <v>24344.500000000004</v>
      </c>
      <c r="G54" s="187">
        <f t="shared" si="4"/>
        <v>3769</v>
      </c>
      <c r="H54" s="187">
        <f t="shared" si="4"/>
        <v>28113.499999999996</v>
      </c>
      <c r="I54" s="187">
        <f t="shared" si="4"/>
        <v>215331.49999999997</v>
      </c>
    </row>
    <row r="55" spans="1:9" ht="15.75" thickTop="1"/>
    <row r="57" spans="1:9">
      <c r="A57" s="156" t="s">
        <v>266</v>
      </c>
    </row>
    <row r="58" spans="1:9">
      <c r="A58" s="145" t="s">
        <v>267</v>
      </c>
      <c r="B58" s="144" t="s">
        <v>268</v>
      </c>
    </row>
    <row r="59" spans="1:9">
      <c r="A59" s="145" t="s">
        <v>269</v>
      </c>
      <c r="B59" s="144" t="s">
        <v>270</v>
      </c>
    </row>
    <row r="60" spans="1:9">
      <c r="A60" s="145" t="s">
        <v>271</v>
      </c>
      <c r="B60" s="144" t="s">
        <v>272</v>
      </c>
    </row>
    <row r="61" spans="1:9">
      <c r="A61" s="145" t="s">
        <v>273</v>
      </c>
      <c r="B61" s="144" t="s">
        <v>274</v>
      </c>
    </row>
    <row r="62" spans="1:9">
      <c r="A62" s="145" t="s">
        <v>275</v>
      </c>
      <c r="B62" s="144" t="s">
        <v>276</v>
      </c>
    </row>
    <row r="63" spans="1:9">
      <c r="A63" s="145" t="s">
        <v>277</v>
      </c>
      <c r="B63" s="144" t="s">
        <v>278</v>
      </c>
    </row>
    <row r="64" spans="1:9">
      <c r="A64" s="145" t="s">
        <v>279</v>
      </c>
      <c r="B64" s="144" t="s">
        <v>280</v>
      </c>
    </row>
    <row r="65" spans="1:2">
      <c r="A65" s="145" t="s">
        <v>281</v>
      </c>
      <c r="B65" s="144" t="s">
        <v>282</v>
      </c>
    </row>
    <row r="66" spans="1:2">
      <c r="A66" s="145" t="s">
        <v>283</v>
      </c>
      <c r="B66" s="144" t="s">
        <v>284</v>
      </c>
    </row>
    <row r="67" spans="1:2">
      <c r="A67" s="145" t="s">
        <v>285</v>
      </c>
      <c r="B67" s="144" t="s">
        <v>286</v>
      </c>
    </row>
    <row r="68" spans="1:2">
      <c r="A68" s="145" t="s">
        <v>287</v>
      </c>
      <c r="B68" s="144" t="s">
        <v>288</v>
      </c>
    </row>
    <row r="69" spans="1:2">
      <c r="A69" s="145" t="s">
        <v>289</v>
      </c>
      <c r="B69" s="144" t="s">
        <v>290</v>
      </c>
    </row>
    <row r="70" spans="1:2">
      <c r="A70" s="145" t="s">
        <v>291</v>
      </c>
      <c r="B70" s="144" t="s">
        <v>292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Y285"/>
  <sheetViews>
    <sheetView workbookViewId="0">
      <pane xSplit="2" ySplit="6" topLeftCell="Q7" activePane="bottomRight" state="frozen"/>
      <selection pane="topRight" activeCell="C1" sqref="C1"/>
      <selection pane="bottomLeft" activeCell="A7" sqref="A7"/>
      <selection pane="bottomRight" activeCell="R58" sqref="R58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88" bestFit="1" customWidth="1"/>
    <col min="7" max="7" width="20.28515625" style="13" customWidth="1"/>
    <col min="8" max="8" width="21.7109375" style="13" customWidth="1"/>
    <col min="9" max="9" width="15.7109375" style="13" customWidth="1"/>
    <col min="10" max="10" width="17" style="14" customWidth="1"/>
    <col min="11" max="11" width="13.5703125" style="13" customWidth="1"/>
    <col min="12" max="12" width="13.5703125" style="78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7.42578125" style="16" bestFit="1" customWidth="1"/>
    <col min="28" max="28" width="35.7109375" style="16" customWidth="1"/>
    <col min="29" max="30" width="11.42578125" style="16"/>
    <col min="31" max="31" width="11.42578125" style="113"/>
    <col min="32" max="32" width="30.140625" style="113" customWidth="1"/>
    <col min="33" max="45" width="11.42578125" style="16"/>
    <col min="46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87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116" t="s">
        <v>160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87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117" t="s">
        <v>162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 ht="16.5" thickBot="1">
      <c r="A3" s="10" t="s">
        <v>148</v>
      </c>
      <c r="B3" s="10" t="s">
        <v>149</v>
      </c>
      <c r="C3" s="10"/>
      <c r="D3" s="10"/>
      <c r="E3" s="11"/>
      <c r="F3" s="87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119" t="s">
        <v>168</v>
      </c>
      <c r="AF3" s="120" t="s">
        <v>169</v>
      </c>
      <c r="AG3" s="17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 thickTop="1">
      <c r="A4" s="12"/>
      <c r="B4" s="12"/>
      <c r="C4" s="12"/>
      <c r="D4" s="12"/>
      <c r="E4" s="12"/>
      <c r="F4" s="88"/>
      <c r="G4" s="13"/>
      <c r="H4" s="13"/>
      <c r="I4" s="13"/>
      <c r="J4" s="14"/>
      <c r="K4" s="13"/>
      <c r="L4" s="78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2" t="s">
        <v>178</v>
      </c>
      <c r="AF4" s="113"/>
      <c r="AG4" s="17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236" t="s">
        <v>3</v>
      </c>
      <c r="B5" s="236" t="s">
        <v>4</v>
      </c>
      <c r="C5" s="236" t="s">
        <v>5</v>
      </c>
      <c r="D5" s="19"/>
      <c r="E5" s="236" t="s">
        <v>6</v>
      </c>
      <c r="F5" s="89"/>
      <c r="G5" s="230" t="s">
        <v>7</v>
      </c>
      <c r="H5" s="230" t="s">
        <v>8</v>
      </c>
      <c r="I5" s="230" t="s">
        <v>9</v>
      </c>
      <c r="J5" s="230" t="s">
        <v>10</v>
      </c>
      <c r="K5" s="230" t="s">
        <v>11</v>
      </c>
      <c r="L5" s="20"/>
      <c r="M5" s="230" t="s">
        <v>12</v>
      </c>
      <c r="N5" s="230" t="s">
        <v>13</v>
      </c>
      <c r="O5" s="230" t="s">
        <v>14</v>
      </c>
      <c r="P5" s="230" t="s">
        <v>15</v>
      </c>
      <c r="Q5" s="230" t="s">
        <v>16</v>
      </c>
      <c r="R5" s="230" t="s">
        <v>17</v>
      </c>
      <c r="S5" s="230" t="s">
        <v>18</v>
      </c>
      <c r="T5" s="230" t="s">
        <v>19</v>
      </c>
      <c r="U5" s="230" t="s">
        <v>20</v>
      </c>
      <c r="V5" s="230" t="s">
        <v>21</v>
      </c>
      <c r="W5" s="230" t="s">
        <v>22</v>
      </c>
      <c r="X5" s="232" t="s">
        <v>23</v>
      </c>
      <c r="Y5" s="233"/>
      <c r="Z5" s="234" t="s">
        <v>24</v>
      </c>
      <c r="AA5" s="21"/>
      <c r="AB5" s="21" t="s">
        <v>25</v>
      </c>
      <c r="AC5" s="22"/>
      <c r="AD5" s="22"/>
      <c r="AE5" s="113"/>
      <c r="AF5" s="113"/>
      <c r="AG5" s="17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237"/>
      <c r="B6" s="237"/>
      <c r="C6" s="237"/>
      <c r="D6" s="24" t="s">
        <v>26</v>
      </c>
      <c r="E6" s="237"/>
      <c r="F6" s="90" t="s">
        <v>27</v>
      </c>
      <c r="G6" s="231"/>
      <c r="H6" s="231"/>
      <c r="I6" s="231"/>
      <c r="J6" s="231"/>
      <c r="K6" s="231"/>
      <c r="L6" s="25" t="s">
        <v>28</v>
      </c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6" t="s">
        <v>29</v>
      </c>
      <c r="Y6" s="26" t="s">
        <v>30</v>
      </c>
      <c r="Z6" s="230"/>
      <c r="AA6" s="21" t="s">
        <v>31</v>
      </c>
      <c r="AB6" s="21"/>
      <c r="AC6" s="22"/>
      <c r="AD6" s="22"/>
      <c r="AE6" s="121" t="s">
        <v>179</v>
      </c>
      <c r="AG6" s="17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43" customFormat="1">
      <c r="A7" s="27" t="s">
        <v>35</v>
      </c>
      <c r="B7" s="27" t="s">
        <v>145</v>
      </c>
      <c r="C7" s="29"/>
      <c r="D7" s="30">
        <v>42632</v>
      </c>
      <c r="E7" s="27" t="s">
        <v>146</v>
      </c>
      <c r="F7" s="91">
        <v>9200</v>
      </c>
      <c r="G7" s="49"/>
      <c r="H7" s="32"/>
      <c r="I7" s="33">
        <v>45.13</v>
      </c>
      <c r="J7" s="37">
        <f t="shared" ref="J7:J48" si="0">SUM(F7:H7)-I7</f>
        <v>9154.8700000000008</v>
      </c>
      <c r="K7" s="44"/>
      <c r="L7" s="79"/>
      <c r="M7" s="34"/>
      <c r="N7" s="34"/>
      <c r="O7" s="34"/>
      <c r="P7" s="35"/>
      <c r="Q7" s="36">
        <v>0</v>
      </c>
      <c r="R7" s="37">
        <f t="shared" ref="R7:R48" si="1">+J7-SUM(K7:Q7)</f>
        <v>9154.8700000000008</v>
      </c>
      <c r="S7" s="38"/>
      <c r="T7" s="37">
        <f t="shared" ref="T7:T48" si="2">+R7-S7</f>
        <v>9154.8700000000008</v>
      </c>
      <c r="U7" s="39"/>
      <c r="V7" s="38"/>
      <c r="W7" s="37"/>
      <c r="X7" s="40"/>
      <c r="Y7" s="41"/>
      <c r="Z7" s="42"/>
      <c r="AA7" s="64" t="s">
        <v>295</v>
      </c>
      <c r="AB7" s="45"/>
      <c r="AC7" s="17" t="str">
        <f>IF(B7=AF7,"SI","NO")</f>
        <v>SI</v>
      </c>
      <c r="AD7" s="17"/>
      <c r="AE7" s="115" t="s">
        <v>180</v>
      </c>
      <c r="AF7" s="114" t="s">
        <v>181</v>
      </c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43" customFormat="1">
      <c r="A8" s="27" t="s">
        <v>42</v>
      </c>
      <c r="B8" s="27" t="s">
        <v>296</v>
      </c>
      <c r="C8" s="29"/>
      <c r="D8" s="30">
        <v>40691</v>
      </c>
      <c r="E8" s="27" t="s">
        <v>49</v>
      </c>
      <c r="F8" s="91">
        <v>0</v>
      </c>
      <c r="G8" s="49"/>
      <c r="H8" s="32"/>
      <c r="I8" s="33">
        <v>45.13</v>
      </c>
      <c r="J8" s="37">
        <f t="shared" si="0"/>
        <v>-45.13</v>
      </c>
      <c r="K8" s="44"/>
      <c r="L8" s="79"/>
      <c r="M8" s="34"/>
      <c r="N8" s="34"/>
      <c r="O8" s="34"/>
      <c r="P8" s="35"/>
      <c r="Q8" s="36">
        <v>0</v>
      </c>
      <c r="R8" s="37">
        <f t="shared" si="1"/>
        <v>-45.13</v>
      </c>
      <c r="S8" s="38"/>
      <c r="T8" s="37">
        <f t="shared" si="2"/>
        <v>-45.13</v>
      </c>
      <c r="U8" s="39"/>
      <c r="V8" s="38"/>
      <c r="W8" s="37"/>
      <c r="X8" s="40"/>
      <c r="Y8" s="41"/>
      <c r="Z8" s="42"/>
      <c r="AA8" s="42"/>
      <c r="AB8" s="45"/>
      <c r="AC8" s="17" t="str">
        <f t="shared" ref="AC8:AC49" si="3">IF(B8=AF8,"SI","NO")</f>
        <v>SI</v>
      </c>
      <c r="AD8" s="17"/>
      <c r="AE8" s="115" t="s">
        <v>182</v>
      </c>
      <c r="AF8" s="114" t="s">
        <v>183</v>
      </c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43" customFormat="1">
      <c r="A9" s="27" t="s">
        <v>32</v>
      </c>
      <c r="B9" s="27" t="s">
        <v>33</v>
      </c>
      <c r="C9" s="29"/>
      <c r="D9" s="50">
        <v>42409</v>
      </c>
      <c r="E9" s="27" t="s">
        <v>34</v>
      </c>
      <c r="F9" s="91">
        <v>1617</v>
      </c>
      <c r="G9" s="49"/>
      <c r="H9" s="32"/>
      <c r="I9" s="33">
        <v>45.13</v>
      </c>
      <c r="J9" s="37">
        <f t="shared" si="0"/>
        <v>1571.87</v>
      </c>
      <c r="K9" s="44"/>
      <c r="L9" s="80"/>
      <c r="M9" s="34"/>
      <c r="N9" s="34"/>
      <c r="O9" s="34"/>
      <c r="P9" s="35"/>
      <c r="Q9" s="36">
        <v>0</v>
      </c>
      <c r="R9" s="37">
        <f t="shared" si="1"/>
        <v>1571.87</v>
      </c>
      <c r="S9" s="38">
        <f>IF(J9&gt;4500,J9*0.1,0)</f>
        <v>0</v>
      </c>
      <c r="T9" s="37">
        <f t="shared" si="2"/>
        <v>1571.87</v>
      </c>
      <c r="U9" s="39">
        <f>IF(J9&lt;4500,J9*0.1,0)</f>
        <v>157.18700000000001</v>
      </c>
      <c r="V9" s="38">
        <f>+'[1]C&amp;A'!D12*0.02</f>
        <v>21.911999999999999</v>
      </c>
      <c r="W9" s="37">
        <f>+J9+U9+V9</f>
        <v>1750.9689999999998</v>
      </c>
      <c r="X9" s="40"/>
      <c r="Y9" s="41"/>
      <c r="Z9" s="42">
        <f>+X9+Y9-T9</f>
        <v>-1571.87</v>
      </c>
      <c r="AA9" s="98"/>
      <c r="AB9" s="45"/>
      <c r="AC9" s="17" t="str">
        <f t="shared" si="3"/>
        <v>SI</v>
      </c>
      <c r="AD9" s="17"/>
      <c r="AE9" s="115" t="s">
        <v>184</v>
      </c>
      <c r="AF9" s="114" t="s">
        <v>185</v>
      </c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43" customFormat="1">
      <c r="A10" s="27" t="s">
        <v>35</v>
      </c>
      <c r="B10" s="27" t="s">
        <v>36</v>
      </c>
      <c r="C10" s="29" t="s">
        <v>37</v>
      </c>
      <c r="D10" s="30">
        <v>42072</v>
      </c>
      <c r="E10" s="27" t="s">
        <v>130</v>
      </c>
      <c r="F10" s="91">
        <v>3160</v>
      </c>
      <c r="G10" s="32"/>
      <c r="H10" s="32"/>
      <c r="I10" s="33">
        <v>45.13</v>
      </c>
      <c r="J10" s="37">
        <f t="shared" si="0"/>
        <v>3114.87</v>
      </c>
      <c r="K10" s="44"/>
      <c r="L10" s="80"/>
      <c r="M10" s="34"/>
      <c r="N10" s="34"/>
      <c r="O10" s="34"/>
      <c r="P10" s="35"/>
      <c r="Q10" s="36">
        <v>910</v>
      </c>
      <c r="R10" s="37">
        <f t="shared" si="1"/>
        <v>2204.87</v>
      </c>
      <c r="S10" s="38">
        <f>IF(J10&gt;4500,J10*0.1,0)</f>
        <v>0</v>
      </c>
      <c r="T10" s="37">
        <f t="shared" si="2"/>
        <v>2204.87</v>
      </c>
      <c r="U10" s="39">
        <f>IF(J10&lt;4500,J10*0.1,0)</f>
        <v>311.48700000000002</v>
      </c>
      <c r="V10" s="38">
        <f>+'[1]C&amp;A'!D14*0.02</f>
        <v>21.911999999999999</v>
      </c>
      <c r="W10" s="37">
        <f>+J10+U10+V10</f>
        <v>3448.2689999999998</v>
      </c>
      <c r="X10" s="40"/>
      <c r="Y10" s="41"/>
      <c r="Z10" s="42">
        <f>+X10+Y10-T10</f>
        <v>-2204.87</v>
      </c>
      <c r="AA10" s="42"/>
      <c r="AB10" s="45"/>
      <c r="AC10" s="17" t="str">
        <f t="shared" si="3"/>
        <v>SI</v>
      </c>
      <c r="AD10" s="17"/>
      <c r="AE10" s="115" t="s">
        <v>186</v>
      </c>
      <c r="AF10" s="114" t="s">
        <v>187</v>
      </c>
      <c r="AG10" s="85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43" customFormat="1">
      <c r="A11" s="27" t="s">
        <v>35</v>
      </c>
      <c r="B11" s="27" t="s">
        <v>39</v>
      </c>
      <c r="C11" s="29" t="s">
        <v>40</v>
      </c>
      <c r="D11" s="30">
        <v>42298</v>
      </c>
      <c r="E11" s="27" t="s">
        <v>41</v>
      </c>
      <c r="F11" s="91">
        <v>6913.67</v>
      </c>
      <c r="G11" s="32"/>
      <c r="H11" s="32"/>
      <c r="I11" s="33">
        <v>45.13</v>
      </c>
      <c r="J11" s="37">
        <f t="shared" si="0"/>
        <v>6868.54</v>
      </c>
      <c r="K11" s="44"/>
      <c r="L11" s="80"/>
      <c r="M11" s="34"/>
      <c r="N11" s="34"/>
      <c r="O11" s="34"/>
      <c r="P11" s="35"/>
      <c r="Q11" s="36">
        <v>0</v>
      </c>
      <c r="R11" s="37">
        <f t="shared" si="1"/>
        <v>6868.54</v>
      </c>
      <c r="S11" s="38">
        <f>IF(J11&gt;4500,J11*0.1,0)</f>
        <v>686.85400000000004</v>
      </c>
      <c r="T11" s="37">
        <f t="shared" si="2"/>
        <v>6181.6859999999997</v>
      </c>
      <c r="U11" s="39">
        <f>IF(J11&lt;4500,J11*0.1,0)</f>
        <v>0</v>
      </c>
      <c r="V11" s="38">
        <f>+'[1]C&amp;A'!D15*0.02</f>
        <v>21.911999999999999</v>
      </c>
      <c r="W11" s="37">
        <f>+J11+U11+V11</f>
        <v>6890.4520000000002</v>
      </c>
      <c r="X11" s="40"/>
      <c r="Y11" s="46"/>
      <c r="Z11" s="42">
        <f>+X11+Y11-T11</f>
        <v>-6181.6859999999997</v>
      </c>
      <c r="AA11" s="42"/>
      <c r="AB11" s="45"/>
      <c r="AC11" s="17" t="str">
        <f t="shared" si="3"/>
        <v>SI</v>
      </c>
      <c r="AD11" s="17"/>
      <c r="AE11" s="115" t="s">
        <v>188</v>
      </c>
      <c r="AF11" s="114" t="s">
        <v>189</v>
      </c>
      <c r="AG11" s="85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43" customFormat="1">
      <c r="A12" s="27" t="s">
        <v>35</v>
      </c>
      <c r="B12" s="95" t="s">
        <v>120</v>
      </c>
      <c r="C12" s="29" t="s">
        <v>121</v>
      </c>
      <c r="D12" s="30">
        <v>41939</v>
      </c>
      <c r="E12" s="27" t="s">
        <v>122</v>
      </c>
      <c r="F12" s="91">
        <v>0</v>
      </c>
      <c r="G12" s="32"/>
      <c r="H12" s="32"/>
      <c r="I12" s="33">
        <v>45.13</v>
      </c>
      <c r="J12" s="37">
        <f t="shared" si="0"/>
        <v>-45.13</v>
      </c>
      <c r="K12" s="44"/>
      <c r="L12" s="80"/>
      <c r="M12" s="34"/>
      <c r="N12" s="34"/>
      <c r="O12" s="34"/>
      <c r="P12" s="35">
        <v>180</v>
      </c>
      <c r="Q12" s="36">
        <v>0</v>
      </c>
      <c r="R12" s="37">
        <f t="shared" si="1"/>
        <v>-225.13</v>
      </c>
      <c r="S12" s="38"/>
      <c r="T12" s="37">
        <f t="shared" si="2"/>
        <v>-225.13</v>
      </c>
      <c r="U12" s="39"/>
      <c r="V12" s="38"/>
      <c r="W12" s="37"/>
      <c r="X12" s="40"/>
      <c r="Y12" s="46"/>
      <c r="Z12" s="42"/>
      <c r="AA12" s="42"/>
      <c r="AB12" s="45"/>
      <c r="AC12" s="17" t="str">
        <f t="shared" si="3"/>
        <v>SI</v>
      </c>
      <c r="AD12" s="17"/>
      <c r="AE12" s="115" t="s">
        <v>190</v>
      </c>
      <c r="AF12" s="114" t="s">
        <v>191</v>
      </c>
      <c r="AG12" s="85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43" customFormat="1">
      <c r="A13" s="27" t="s">
        <v>42</v>
      </c>
      <c r="B13" s="27" t="s">
        <v>43</v>
      </c>
      <c r="C13" s="29" t="s">
        <v>44</v>
      </c>
      <c r="D13" s="30">
        <v>41822</v>
      </c>
      <c r="E13" s="27" t="s">
        <v>45</v>
      </c>
      <c r="F13" s="91">
        <v>0</v>
      </c>
      <c r="G13" s="32"/>
      <c r="H13" s="32"/>
      <c r="I13" s="33">
        <v>45.13</v>
      </c>
      <c r="J13" s="37">
        <f t="shared" si="0"/>
        <v>-45.13</v>
      </c>
      <c r="K13" s="44"/>
      <c r="L13" s="80"/>
      <c r="M13" s="34"/>
      <c r="N13" s="34"/>
      <c r="O13" s="34"/>
      <c r="P13" s="35"/>
      <c r="Q13" s="36">
        <v>0</v>
      </c>
      <c r="R13" s="37">
        <f t="shared" si="1"/>
        <v>-45.13</v>
      </c>
      <c r="S13" s="38">
        <f>IF(J13&gt;4500,J13*0.1,0)</f>
        <v>0</v>
      </c>
      <c r="T13" s="37">
        <f t="shared" si="2"/>
        <v>-45.13</v>
      </c>
      <c r="U13" s="39">
        <f>IF(J13&lt;4500,J13*0.1,0)</f>
        <v>-4.5130000000000008</v>
      </c>
      <c r="V13" s="38">
        <f>+'[1]C&amp;A'!D17*0.02</f>
        <v>21.911999999999999</v>
      </c>
      <c r="W13" s="37">
        <f>+J13+U13+V13</f>
        <v>-27.731000000000002</v>
      </c>
      <c r="X13" s="40"/>
      <c r="Y13" s="41"/>
      <c r="Z13" s="42">
        <f>+X13+Y13-T13</f>
        <v>45.13</v>
      </c>
      <c r="AA13" s="42"/>
      <c r="AB13" s="45"/>
      <c r="AC13" s="17" t="str">
        <f t="shared" si="3"/>
        <v>SI</v>
      </c>
      <c r="AD13" s="17"/>
      <c r="AE13" s="115" t="s">
        <v>192</v>
      </c>
      <c r="AF13" s="114" t="s">
        <v>193</v>
      </c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s="43" customFormat="1">
      <c r="A14" s="27"/>
      <c r="B14" s="27" t="s">
        <v>141</v>
      </c>
      <c r="C14" s="29"/>
      <c r="D14" s="30">
        <v>42611</v>
      </c>
      <c r="E14" s="27" t="s">
        <v>144</v>
      </c>
      <c r="F14" s="91">
        <v>0</v>
      </c>
      <c r="G14" s="32"/>
      <c r="H14" s="32"/>
      <c r="I14" s="33">
        <v>45.13</v>
      </c>
      <c r="J14" s="37">
        <f t="shared" si="0"/>
        <v>-45.13</v>
      </c>
      <c r="K14" s="44"/>
      <c r="L14" s="80"/>
      <c r="M14" s="34"/>
      <c r="N14" s="34"/>
      <c r="O14" s="34"/>
      <c r="P14" s="35"/>
      <c r="Q14" s="36">
        <v>0</v>
      </c>
      <c r="R14" s="37">
        <f t="shared" si="1"/>
        <v>-45.13</v>
      </c>
      <c r="S14" s="38">
        <f>IF(J14&gt;4500,J14*0.1,0)</f>
        <v>0</v>
      </c>
      <c r="T14" s="37">
        <f t="shared" si="2"/>
        <v>-45.13</v>
      </c>
      <c r="U14" s="39"/>
      <c r="V14" s="38"/>
      <c r="W14" s="37"/>
      <c r="X14" s="40"/>
      <c r="Y14" s="41"/>
      <c r="Z14" s="42"/>
      <c r="AA14" s="42" t="s">
        <v>142</v>
      </c>
      <c r="AB14" s="45"/>
      <c r="AC14" s="17" t="str">
        <f t="shared" si="3"/>
        <v>SI</v>
      </c>
      <c r="AD14" s="17"/>
      <c r="AE14" s="115" t="s">
        <v>194</v>
      </c>
      <c r="AF14" s="114" t="s">
        <v>195</v>
      </c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1:45" s="86" customFormat="1">
      <c r="A15" s="27" t="s">
        <v>42</v>
      </c>
      <c r="B15" s="45" t="s">
        <v>46</v>
      </c>
      <c r="C15" s="29" t="s">
        <v>47</v>
      </c>
      <c r="D15" s="30">
        <v>41474</v>
      </c>
      <c r="E15" s="27" t="s">
        <v>45</v>
      </c>
      <c r="F15" s="91">
        <v>0</v>
      </c>
      <c r="G15" s="32"/>
      <c r="H15" s="32"/>
      <c r="I15" s="33">
        <v>45.13</v>
      </c>
      <c r="J15" s="37">
        <f t="shared" si="0"/>
        <v>-45.13</v>
      </c>
      <c r="K15" s="44"/>
      <c r="L15" s="80"/>
      <c r="M15" s="34"/>
      <c r="N15" s="34"/>
      <c r="O15" s="34"/>
      <c r="P15" s="35"/>
      <c r="Q15" s="36">
        <v>0</v>
      </c>
      <c r="R15" s="37">
        <f t="shared" si="1"/>
        <v>-45.13</v>
      </c>
      <c r="S15" s="38">
        <f>IF(J15&gt;4500,J15*0.1,0)</f>
        <v>0</v>
      </c>
      <c r="T15" s="37">
        <f t="shared" si="2"/>
        <v>-45.13</v>
      </c>
      <c r="U15" s="39">
        <f>IF(J15&lt;4500,J15*0.1,0)</f>
        <v>-4.5130000000000008</v>
      </c>
      <c r="V15" s="38">
        <f>+'[1]C&amp;A'!D18*0.02</f>
        <v>21.911999999999999</v>
      </c>
      <c r="W15" s="37">
        <f>+J15+U15+V15</f>
        <v>-27.731000000000002</v>
      </c>
      <c r="X15" s="40"/>
      <c r="Y15" s="41"/>
      <c r="Z15" s="42">
        <f>+X15+Y15-T15</f>
        <v>45.13</v>
      </c>
      <c r="AA15" s="42"/>
      <c r="AB15" s="47"/>
      <c r="AC15" s="17" t="str">
        <f t="shared" si="3"/>
        <v>SI</v>
      </c>
      <c r="AD15" s="85"/>
      <c r="AE15" s="115" t="s">
        <v>196</v>
      </c>
      <c r="AF15" s="114" t="s">
        <v>197</v>
      </c>
      <c r="AG15" s="17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</row>
    <row r="16" spans="1:45" s="86" customFormat="1">
      <c r="A16" s="27" t="s">
        <v>55</v>
      </c>
      <c r="B16" s="45" t="s">
        <v>117</v>
      </c>
      <c r="C16" s="29"/>
      <c r="D16" s="30">
        <v>42583</v>
      </c>
      <c r="E16" s="27" t="s">
        <v>91</v>
      </c>
      <c r="F16" s="91">
        <v>28400</v>
      </c>
      <c r="G16" s="32"/>
      <c r="H16" s="32"/>
      <c r="I16" s="33">
        <v>45.13</v>
      </c>
      <c r="J16" s="37">
        <f t="shared" si="0"/>
        <v>28354.87</v>
      </c>
      <c r="K16" s="44"/>
      <c r="L16" s="80"/>
      <c r="M16" s="34"/>
      <c r="N16" s="34"/>
      <c r="O16" s="34"/>
      <c r="P16" s="35"/>
      <c r="Q16" s="36">
        <v>0</v>
      </c>
      <c r="R16" s="37">
        <f t="shared" si="1"/>
        <v>28354.87</v>
      </c>
      <c r="S16" s="38"/>
      <c r="T16" s="37">
        <f t="shared" si="2"/>
        <v>28354.87</v>
      </c>
      <c r="U16" s="39"/>
      <c r="V16" s="38"/>
      <c r="W16" s="37"/>
      <c r="X16" s="40"/>
      <c r="Y16" s="41"/>
      <c r="Z16" s="42"/>
      <c r="AA16" s="42"/>
      <c r="AB16" s="47"/>
      <c r="AC16" s="17" t="str">
        <f t="shared" si="3"/>
        <v>SI</v>
      </c>
      <c r="AD16" s="85"/>
      <c r="AE16" s="115" t="s">
        <v>198</v>
      </c>
      <c r="AF16" s="114" t="s">
        <v>199</v>
      </c>
      <c r="AG16" s="17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45" s="86" customFormat="1">
      <c r="A17" s="27" t="s">
        <v>35</v>
      </c>
      <c r="B17" s="45" t="s">
        <v>133</v>
      </c>
      <c r="C17" s="29"/>
      <c r="D17" s="30">
        <v>42608</v>
      </c>
      <c r="E17" s="27" t="s">
        <v>49</v>
      </c>
      <c r="F17" s="91">
        <v>0</v>
      </c>
      <c r="G17" s="32"/>
      <c r="H17" s="32"/>
      <c r="I17" s="33">
        <v>45.13</v>
      </c>
      <c r="J17" s="37">
        <f t="shared" si="0"/>
        <v>-45.13</v>
      </c>
      <c r="K17" s="44"/>
      <c r="L17" s="80"/>
      <c r="M17" s="34"/>
      <c r="N17" s="34"/>
      <c r="O17" s="34"/>
      <c r="P17" s="35"/>
      <c r="Q17" s="36">
        <v>0</v>
      </c>
      <c r="R17" s="37">
        <f t="shared" si="1"/>
        <v>-45.13</v>
      </c>
      <c r="S17" s="38"/>
      <c r="T17" s="37">
        <f t="shared" si="2"/>
        <v>-45.13</v>
      </c>
      <c r="U17" s="39"/>
      <c r="V17" s="38"/>
      <c r="W17" s="37"/>
      <c r="X17" s="40"/>
      <c r="Y17" s="41"/>
      <c r="Z17" s="42"/>
      <c r="AA17" s="42"/>
      <c r="AB17" s="47"/>
      <c r="AC17" s="17" t="str">
        <f t="shared" si="3"/>
        <v>SI</v>
      </c>
      <c r="AD17" s="85"/>
      <c r="AE17" s="115" t="s">
        <v>200</v>
      </c>
      <c r="AF17" s="114" t="s">
        <v>201</v>
      </c>
      <c r="AG17" s="17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</row>
    <row r="18" spans="1:45" s="43" customFormat="1">
      <c r="A18" s="27" t="s">
        <v>35</v>
      </c>
      <c r="B18" s="45" t="s">
        <v>48</v>
      </c>
      <c r="C18" s="29"/>
      <c r="D18" s="30">
        <v>42552</v>
      </c>
      <c r="E18" s="27" t="s">
        <v>49</v>
      </c>
      <c r="F18" s="91">
        <v>0</v>
      </c>
      <c r="G18" s="32"/>
      <c r="H18" s="32"/>
      <c r="I18" s="33">
        <v>45.13</v>
      </c>
      <c r="J18" s="37">
        <f t="shared" si="0"/>
        <v>-45.13</v>
      </c>
      <c r="K18" s="44"/>
      <c r="L18" s="80"/>
      <c r="M18" s="34"/>
      <c r="N18" s="34"/>
      <c r="O18" s="34"/>
      <c r="P18" s="35"/>
      <c r="Q18" s="36">
        <v>1000</v>
      </c>
      <c r="R18" s="37">
        <f t="shared" si="1"/>
        <v>-1045.1300000000001</v>
      </c>
      <c r="S18" s="38">
        <f>IF(J18&gt;4500,J18*0.1,0)</f>
        <v>0</v>
      </c>
      <c r="T18" s="37">
        <f t="shared" si="2"/>
        <v>-1045.1300000000001</v>
      </c>
      <c r="U18" s="39">
        <f>IF(J18&lt;4500,J18*0.1,0)</f>
        <v>-4.5130000000000008</v>
      </c>
      <c r="V18" s="38">
        <f>+'[1]C&amp;A'!D19*0.02</f>
        <v>21.911999999999999</v>
      </c>
      <c r="W18" s="37">
        <f>+J18+U18+V18</f>
        <v>-27.731000000000002</v>
      </c>
      <c r="X18" s="40"/>
      <c r="Y18" s="41"/>
      <c r="Z18" s="42"/>
      <c r="AA18" s="42"/>
      <c r="AB18" s="47"/>
      <c r="AC18" s="17" t="str">
        <f t="shared" si="3"/>
        <v>SI</v>
      </c>
      <c r="AD18" s="17"/>
      <c r="AE18" s="115" t="s">
        <v>202</v>
      </c>
      <c r="AF18" s="114" t="s">
        <v>203</v>
      </c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43" customFormat="1">
      <c r="A19" s="27" t="s">
        <v>55</v>
      </c>
      <c r="B19" s="45" t="s">
        <v>119</v>
      </c>
      <c r="C19" s="29"/>
      <c r="D19" s="30">
        <v>38873</v>
      </c>
      <c r="E19" s="97" t="s">
        <v>138</v>
      </c>
      <c r="F19" s="91">
        <v>78779.83</v>
      </c>
      <c r="G19" s="32"/>
      <c r="H19" s="32"/>
      <c r="I19" s="33">
        <v>45.13</v>
      </c>
      <c r="J19" s="37">
        <f t="shared" si="0"/>
        <v>78734.7</v>
      </c>
      <c r="K19" s="44"/>
      <c r="L19" s="80"/>
      <c r="M19" s="34"/>
      <c r="N19" s="34"/>
      <c r="O19" s="34"/>
      <c r="P19" s="35">
        <v>1575</v>
      </c>
      <c r="Q19" s="36">
        <v>770</v>
      </c>
      <c r="R19" s="37">
        <f t="shared" si="1"/>
        <v>76389.7</v>
      </c>
      <c r="S19" s="38">
        <f>IF(J19&gt;4500,J19*0.1,0)</f>
        <v>7873.47</v>
      </c>
      <c r="T19" s="37">
        <f t="shared" si="2"/>
        <v>68516.23</v>
      </c>
      <c r="U19" s="39">
        <f>IF(J19&lt;4500,J19*0.1,0)</f>
        <v>0</v>
      </c>
      <c r="V19" s="38"/>
      <c r="W19" s="37"/>
      <c r="X19" s="40"/>
      <c r="Y19" s="41"/>
      <c r="Z19" s="42"/>
      <c r="AA19" s="42"/>
      <c r="AB19" s="47"/>
      <c r="AC19" s="17" t="str">
        <f t="shared" si="3"/>
        <v>SI</v>
      </c>
      <c r="AD19" s="17"/>
      <c r="AE19" s="115" t="s">
        <v>204</v>
      </c>
      <c r="AF19" s="114" t="s">
        <v>205</v>
      </c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43" customFormat="1">
      <c r="A20" s="27" t="s">
        <v>42</v>
      </c>
      <c r="B20" s="95" t="s">
        <v>139</v>
      </c>
      <c r="C20" s="29"/>
      <c r="D20" s="30"/>
      <c r="E20" s="97" t="s">
        <v>140</v>
      </c>
      <c r="F20" s="91">
        <v>0</v>
      </c>
      <c r="G20" s="32"/>
      <c r="H20" s="32"/>
      <c r="I20" s="33"/>
      <c r="J20" s="37">
        <f t="shared" si="0"/>
        <v>0</v>
      </c>
      <c r="K20" s="44"/>
      <c r="L20" s="80"/>
      <c r="M20" s="34"/>
      <c r="N20" s="34"/>
      <c r="O20" s="34"/>
      <c r="P20" s="35"/>
      <c r="Q20" s="36">
        <v>1800</v>
      </c>
      <c r="R20" s="37">
        <f t="shared" si="1"/>
        <v>-1800</v>
      </c>
      <c r="S20" s="38"/>
      <c r="T20" s="37">
        <f t="shared" si="2"/>
        <v>-1800</v>
      </c>
      <c r="U20" s="39"/>
      <c r="V20" s="38"/>
      <c r="W20" s="37"/>
      <c r="X20" s="40"/>
      <c r="Y20" s="41"/>
      <c r="Z20" s="42"/>
      <c r="AA20" s="42"/>
      <c r="AB20" s="47"/>
      <c r="AC20" s="17" t="str">
        <f t="shared" si="3"/>
        <v>SI</v>
      </c>
      <c r="AD20" s="17"/>
      <c r="AE20" s="115" t="s">
        <v>206</v>
      </c>
      <c r="AF20" s="114" t="s">
        <v>207</v>
      </c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s="43" customFormat="1">
      <c r="A21" s="27" t="s">
        <v>42</v>
      </c>
      <c r="B21" s="45" t="s">
        <v>50</v>
      </c>
      <c r="C21" s="29" t="s">
        <v>51</v>
      </c>
      <c r="D21" s="30">
        <v>42298</v>
      </c>
      <c r="E21" s="27" t="s">
        <v>52</v>
      </c>
      <c r="F21" s="91">
        <v>8313.76</v>
      </c>
      <c r="G21" s="49"/>
      <c r="H21" s="32"/>
      <c r="I21" s="33">
        <v>45.13</v>
      </c>
      <c r="J21" s="37">
        <f t="shared" si="0"/>
        <v>8268.630000000001</v>
      </c>
      <c r="K21" s="44"/>
      <c r="L21" s="80"/>
      <c r="M21" s="34"/>
      <c r="N21" s="34"/>
      <c r="O21" s="34"/>
      <c r="P21" s="35"/>
      <c r="Q21" s="36">
        <v>0</v>
      </c>
      <c r="R21" s="37">
        <f t="shared" si="1"/>
        <v>8268.630000000001</v>
      </c>
      <c r="S21" s="38">
        <f>IF(J21&gt;4500,J21*0.1,0)</f>
        <v>826.86300000000017</v>
      </c>
      <c r="T21" s="37">
        <f t="shared" si="2"/>
        <v>7441.7670000000007</v>
      </c>
      <c r="U21" s="39">
        <f>IF(J21&lt;4500,J21*0.1,0)</f>
        <v>0</v>
      </c>
      <c r="V21" s="38">
        <f>+'[1]C&amp;A'!D22*0.02</f>
        <v>21.911999999999999</v>
      </c>
      <c r="W21" s="37">
        <f>+J21+U21+V21</f>
        <v>8290.5420000000013</v>
      </c>
      <c r="X21" s="40"/>
      <c r="Y21" s="46"/>
      <c r="Z21" s="42">
        <f>+X21+Y21-T21</f>
        <v>-7441.7670000000007</v>
      </c>
      <c r="AA21" s="42"/>
      <c r="AB21" s="45"/>
      <c r="AC21" s="17" t="str">
        <f t="shared" si="3"/>
        <v>SI</v>
      </c>
      <c r="AD21" s="17"/>
      <c r="AE21" s="115" t="s">
        <v>208</v>
      </c>
      <c r="AF21" s="114" t="s">
        <v>209</v>
      </c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s="43" customFormat="1">
      <c r="A22" s="27" t="s">
        <v>32</v>
      </c>
      <c r="B22" s="27" t="s">
        <v>56</v>
      </c>
      <c r="C22" s="29"/>
      <c r="D22" s="30">
        <v>42038</v>
      </c>
      <c r="E22" s="27" t="s">
        <v>57</v>
      </c>
      <c r="F22" s="91">
        <v>13350</v>
      </c>
      <c r="G22" s="49"/>
      <c r="H22" s="32"/>
      <c r="I22" s="33">
        <v>45.13</v>
      </c>
      <c r="J22" s="37">
        <f t="shared" si="0"/>
        <v>13304.87</v>
      </c>
      <c r="K22" s="44"/>
      <c r="L22" s="80"/>
      <c r="M22" s="34"/>
      <c r="N22" s="34"/>
      <c r="O22" s="34"/>
      <c r="P22" s="35"/>
      <c r="Q22" s="36">
        <v>1000</v>
      </c>
      <c r="R22" s="37">
        <f t="shared" si="1"/>
        <v>12304.87</v>
      </c>
      <c r="S22" s="38">
        <f>IF(J22&gt;4500,J22*0.1,0)</f>
        <v>1330.4870000000001</v>
      </c>
      <c r="T22" s="37">
        <f t="shared" si="2"/>
        <v>10974.383000000002</v>
      </c>
      <c r="U22" s="39">
        <f>IF(J22&lt;4500,J22*0.1,0)</f>
        <v>0</v>
      </c>
      <c r="V22" s="38">
        <f>+'[1]C&amp;A'!D24*0.02</f>
        <v>21.911999999999999</v>
      </c>
      <c r="W22" s="37">
        <f>+J22+U22+V22</f>
        <v>13326.782000000001</v>
      </c>
      <c r="X22" s="40"/>
      <c r="Y22" s="46"/>
      <c r="Z22" s="42">
        <f>+X22+Y22-T22</f>
        <v>-10974.383000000002</v>
      </c>
      <c r="AA22" s="42"/>
      <c r="AB22" s="45"/>
      <c r="AC22" s="17" t="str">
        <f t="shared" si="3"/>
        <v>SI</v>
      </c>
      <c r="AD22" s="17"/>
      <c r="AE22" s="115" t="s">
        <v>210</v>
      </c>
      <c r="AF22" s="114" t="s">
        <v>211</v>
      </c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s="43" customFormat="1">
      <c r="A23" s="27" t="s">
        <v>55</v>
      </c>
      <c r="B23" s="27" t="s">
        <v>297</v>
      </c>
      <c r="C23" s="27" t="s">
        <v>58</v>
      </c>
      <c r="D23" s="30">
        <v>41582</v>
      </c>
      <c r="E23" s="27" t="s">
        <v>59</v>
      </c>
      <c r="F23" s="91">
        <v>107525.48</v>
      </c>
      <c r="G23" s="32"/>
      <c r="H23" s="32"/>
      <c r="I23" s="33">
        <v>45.13</v>
      </c>
      <c r="J23" s="37">
        <f t="shared" si="0"/>
        <v>107480.34999999999</v>
      </c>
      <c r="K23" s="44"/>
      <c r="L23" s="80"/>
      <c r="M23" s="34"/>
      <c r="N23" s="34"/>
      <c r="O23" s="34"/>
      <c r="P23" s="35"/>
      <c r="Q23" s="36">
        <v>0</v>
      </c>
      <c r="R23" s="37">
        <f t="shared" si="1"/>
        <v>107480.34999999999</v>
      </c>
      <c r="S23" s="38">
        <f>IF(J23&gt;4500,J23*0.1,0)</f>
        <v>10748.035</v>
      </c>
      <c r="T23" s="37">
        <f t="shared" si="2"/>
        <v>96732.314999999988</v>
      </c>
      <c r="U23" s="39">
        <f>IF(J23&lt;4500,J23*0.1,0)</f>
        <v>0</v>
      </c>
      <c r="V23" s="38">
        <f>+'[1]C&amp;A'!D25*0.02</f>
        <v>21.911999999999999</v>
      </c>
      <c r="W23" s="37">
        <f>+J23+U23+V23</f>
        <v>107502.26199999999</v>
      </c>
      <c r="X23" s="40"/>
      <c r="Y23" s="46"/>
      <c r="Z23" s="42">
        <f>+X23+Y23-T23</f>
        <v>-96732.314999999988</v>
      </c>
      <c r="AA23" s="42"/>
      <c r="AB23" s="45"/>
      <c r="AC23" s="17" t="str">
        <f t="shared" si="3"/>
        <v>SI</v>
      </c>
      <c r="AD23" s="17"/>
      <c r="AE23" s="115" t="s">
        <v>212</v>
      </c>
      <c r="AF23" s="114" t="s">
        <v>213</v>
      </c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43" customFormat="1">
      <c r="A24" s="27" t="s">
        <v>55</v>
      </c>
      <c r="B24" s="45" t="s">
        <v>61</v>
      </c>
      <c r="C24" s="29" t="s">
        <v>62</v>
      </c>
      <c r="D24" s="30">
        <v>42380</v>
      </c>
      <c r="E24" s="27" t="s">
        <v>63</v>
      </c>
      <c r="F24" s="91">
        <v>4214</v>
      </c>
      <c r="G24" s="32"/>
      <c r="H24" s="32"/>
      <c r="I24" s="33">
        <v>45.13</v>
      </c>
      <c r="J24" s="37">
        <f t="shared" si="0"/>
        <v>4168.87</v>
      </c>
      <c r="K24" s="44"/>
      <c r="L24" s="80"/>
      <c r="M24" s="34"/>
      <c r="N24" s="34"/>
      <c r="O24" s="34"/>
      <c r="P24" s="35"/>
      <c r="Q24" s="36">
        <v>0</v>
      </c>
      <c r="R24" s="37">
        <f t="shared" si="1"/>
        <v>4168.87</v>
      </c>
      <c r="S24" s="38">
        <f>IF(J24&gt;4500,J24*0.1,0)</f>
        <v>0</v>
      </c>
      <c r="T24" s="37">
        <f t="shared" si="2"/>
        <v>4168.87</v>
      </c>
      <c r="U24" s="39">
        <f>IF(J24&lt;4500,J24*0.1,0)</f>
        <v>416.887</v>
      </c>
      <c r="V24" s="38">
        <f>+'[1]C&amp;A'!D27*0.02</f>
        <v>21.911999999999999</v>
      </c>
      <c r="W24" s="37">
        <f>+J24+U24+V24</f>
        <v>4607.6689999999999</v>
      </c>
      <c r="X24" s="40"/>
      <c r="Y24" s="46"/>
      <c r="Z24" s="42">
        <f>+X24+Y24-T24</f>
        <v>-4168.87</v>
      </c>
      <c r="AA24" s="42"/>
      <c r="AB24" s="45"/>
      <c r="AC24" s="17" t="str">
        <f t="shared" si="3"/>
        <v>SI</v>
      </c>
      <c r="AD24" s="17"/>
      <c r="AE24" s="115" t="s">
        <v>214</v>
      </c>
      <c r="AF24" s="114" t="s">
        <v>215</v>
      </c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43" customFormat="1">
      <c r="A25" s="27" t="s">
        <v>35</v>
      </c>
      <c r="B25" s="95" t="s">
        <v>123</v>
      </c>
      <c r="C25" s="29">
        <v>3</v>
      </c>
      <c r="D25" s="30">
        <v>39465</v>
      </c>
      <c r="E25" s="27" t="s">
        <v>124</v>
      </c>
      <c r="F25" s="91">
        <v>15000</v>
      </c>
      <c r="G25" s="32"/>
      <c r="H25" s="32"/>
      <c r="I25" s="33">
        <v>45.13</v>
      </c>
      <c r="J25" s="37">
        <f t="shared" si="0"/>
        <v>14954.87</v>
      </c>
      <c r="K25" s="44"/>
      <c r="L25" s="80"/>
      <c r="M25" s="34"/>
      <c r="N25" s="34"/>
      <c r="O25" s="34"/>
      <c r="P25" s="96"/>
      <c r="Q25" s="36">
        <v>323.91000000000003</v>
      </c>
      <c r="R25" s="37">
        <f t="shared" si="1"/>
        <v>14630.960000000001</v>
      </c>
      <c r="S25" s="38"/>
      <c r="T25" s="37">
        <f t="shared" si="2"/>
        <v>14630.960000000001</v>
      </c>
      <c r="U25" s="39"/>
      <c r="V25" s="38"/>
      <c r="W25" s="37"/>
      <c r="X25" s="40"/>
      <c r="Y25" s="46"/>
      <c r="Z25" s="42"/>
      <c r="AA25" s="42"/>
      <c r="AB25" s="48" t="s">
        <v>154</v>
      </c>
      <c r="AC25" s="17" t="str">
        <f t="shared" si="3"/>
        <v>SI</v>
      </c>
      <c r="AD25" s="17"/>
      <c r="AE25" s="115" t="s">
        <v>216</v>
      </c>
      <c r="AF25" s="114" t="s">
        <v>217</v>
      </c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s="43" customFormat="1">
      <c r="A26" s="27" t="s">
        <v>35</v>
      </c>
      <c r="B26" s="45" t="s">
        <v>114</v>
      </c>
      <c r="C26" s="29"/>
      <c r="D26" s="30">
        <v>40530</v>
      </c>
      <c r="E26" s="27" t="s">
        <v>83</v>
      </c>
      <c r="F26" s="91">
        <v>12394.4</v>
      </c>
      <c r="G26" s="32"/>
      <c r="H26" s="32"/>
      <c r="I26" s="33">
        <v>45.13</v>
      </c>
      <c r="J26" s="37">
        <f t="shared" si="0"/>
        <v>12349.27</v>
      </c>
      <c r="K26" s="44"/>
      <c r="L26" s="80"/>
      <c r="M26" s="34"/>
      <c r="N26" s="34"/>
      <c r="O26" s="34"/>
      <c r="P26" s="35"/>
      <c r="Q26" s="36">
        <v>1500</v>
      </c>
      <c r="R26" s="37">
        <f t="shared" si="1"/>
        <v>10849.27</v>
      </c>
      <c r="S26" s="38">
        <f t="shared" ref="S26:S33" si="4">IF(J26&gt;4500,J26*0.1,0)</f>
        <v>1234.9270000000001</v>
      </c>
      <c r="T26" s="37">
        <f t="shared" si="2"/>
        <v>9614.3430000000008</v>
      </c>
      <c r="U26" s="39">
        <f>IF(J26&lt;4500,J26*0.1,0)</f>
        <v>0</v>
      </c>
      <c r="V26" s="38">
        <f>+'[1]C&amp;A'!D28*0.02</f>
        <v>21.911999999999999</v>
      </c>
      <c r="W26" s="37">
        <f>+J26+U26+V26</f>
        <v>12371.182000000001</v>
      </c>
      <c r="X26" s="40"/>
      <c r="Y26" s="41"/>
      <c r="Z26" s="42"/>
      <c r="AA26" s="42"/>
      <c r="AB26" s="45"/>
      <c r="AC26" s="17" t="str">
        <f t="shared" si="3"/>
        <v>SI</v>
      </c>
      <c r="AD26" s="17"/>
      <c r="AE26" s="115" t="s">
        <v>218</v>
      </c>
      <c r="AF26" s="114" t="s">
        <v>219</v>
      </c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43" customFormat="1">
      <c r="A27" s="27" t="s">
        <v>55</v>
      </c>
      <c r="B27" s="45" t="s">
        <v>64</v>
      </c>
      <c r="C27" s="27" t="s">
        <v>65</v>
      </c>
      <c r="D27" s="30">
        <v>42310</v>
      </c>
      <c r="E27" s="27" t="s">
        <v>66</v>
      </c>
      <c r="F27" s="91">
        <v>0</v>
      </c>
      <c r="G27" s="32"/>
      <c r="H27" s="32"/>
      <c r="I27" s="33">
        <v>45.13</v>
      </c>
      <c r="J27" s="37">
        <f t="shared" si="0"/>
        <v>-45.13</v>
      </c>
      <c r="K27" s="44"/>
      <c r="L27" s="80"/>
      <c r="M27" s="34"/>
      <c r="N27" s="34"/>
      <c r="O27" s="34"/>
      <c r="P27" s="35"/>
      <c r="Q27" s="36">
        <v>0</v>
      </c>
      <c r="R27" s="37">
        <f t="shared" si="1"/>
        <v>-45.13</v>
      </c>
      <c r="S27" s="38">
        <f t="shared" si="4"/>
        <v>0</v>
      </c>
      <c r="T27" s="37">
        <f t="shared" si="2"/>
        <v>-45.13</v>
      </c>
      <c r="U27" s="39">
        <f>IF(J27&lt;4500,J27*0.1,0)</f>
        <v>-4.5130000000000008</v>
      </c>
      <c r="V27" s="38">
        <f>+'[1]C&amp;A'!D29*0.02</f>
        <v>21.911999999999999</v>
      </c>
      <c r="W27" s="37">
        <f>+J27+U27+V27</f>
        <v>-27.731000000000002</v>
      </c>
      <c r="X27" s="40"/>
      <c r="Y27" s="46"/>
      <c r="Z27" s="42">
        <f>+X27+Y27-T27</f>
        <v>45.13</v>
      </c>
      <c r="AA27" s="42"/>
      <c r="AB27" s="45"/>
      <c r="AC27" s="17" t="str">
        <f t="shared" si="3"/>
        <v>SI</v>
      </c>
      <c r="AD27" s="17"/>
      <c r="AE27" s="115" t="s">
        <v>220</v>
      </c>
      <c r="AF27" s="114" t="s">
        <v>221</v>
      </c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s="43" customFormat="1">
      <c r="A28" s="27" t="s">
        <v>55</v>
      </c>
      <c r="B28" s="45" t="s">
        <v>298</v>
      </c>
      <c r="C28" s="29" t="s">
        <v>67</v>
      </c>
      <c r="D28" s="30">
        <v>42374</v>
      </c>
      <c r="E28" s="27" t="s">
        <v>68</v>
      </c>
      <c r="F28" s="91">
        <v>1776</v>
      </c>
      <c r="G28" s="32"/>
      <c r="H28" s="32"/>
      <c r="I28" s="33">
        <v>45.13</v>
      </c>
      <c r="J28" s="37">
        <f t="shared" si="0"/>
        <v>1730.87</v>
      </c>
      <c r="K28" s="44"/>
      <c r="L28" s="80"/>
      <c r="M28" s="34"/>
      <c r="N28" s="34"/>
      <c r="O28" s="34"/>
      <c r="P28" s="35"/>
      <c r="Q28" s="36">
        <v>0</v>
      </c>
      <c r="R28" s="37">
        <f t="shared" si="1"/>
        <v>1730.87</v>
      </c>
      <c r="S28" s="38">
        <f t="shared" si="4"/>
        <v>0</v>
      </c>
      <c r="T28" s="37">
        <f t="shared" si="2"/>
        <v>1730.87</v>
      </c>
      <c r="U28" s="39">
        <f>IF(J28&lt;4500,J28*0.1,0)</f>
        <v>173.08699999999999</v>
      </c>
      <c r="V28" s="38">
        <f>+'[1]C&amp;A'!D30*0.02</f>
        <v>21.911999999999999</v>
      </c>
      <c r="W28" s="37">
        <f>+J28+U28+V28</f>
        <v>1925.8689999999999</v>
      </c>
      <c r="X28" s="40"/>
      <c r="Y28" s="41"/>
      <c r="Z28" s="42">
        <f>+X28+Y28-T28</f>
        <v>-1730.87</v>
      </c>
      <c r="AA28" s="42"/>
      <c r="AB28" s="48"/>
      <c r="AC28" s="17" t="str">
        <f t="shared" si="3"/>
        <v>SI</v>
      </c>
      <c r="AD28" s="17"/>
      <c r="AE28" s="115" t="s">
        <v>222</v>
      </c>
      <c r="AF28" s="114" t="s">
        <v>223</v>
      </c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43" customFormat="1">
      <c r="A29" s="106"/>
      <c r="B29" s="106" t="s">
        <v>151</v>
      </c>
      <c r="C29" s="107"/>
      <c r="D29" s="108">
        <v>42653</v>
      </c>
      <c r="E29" s="106" t="s">
        <v>152</v>
      </c>
      <c r="F29" s="109"/>
      <c r="G29" s="110"/>
      <c r="H29" s="110"/>
      <c r="I29" s="33"/>
      <c r="J29" s="37">
        <f t="shared" si="0"/>
        <v>0</v>
      </c>
      <c r="K29" s="44"/>
      <c r="L29" s="80"/>
      <c r="M29" s="34"/>
      <c r="N29" s="34"/>
      <c r="O29" s="34"/>
      <c r="P29" s="52"/>
      <c r="Q29" s="52">
        <v>0</v>
      </c>
      <c r="R29" s="37">
        <f t="shared" si="1"/>
        <v>0</v>
      </c>
      <c r="S29" s="38">
        <f t="shared" si="4"/>
        <v>0</v>
      </c>
      <c r="T29" s="37">
        <f t="shared" si="2"/>
        <v>0</v>
      </c>
      <c r="U29" s="39"/>
      <c r="V29" s="38"/>
      <c r="W29" s="37"/>
      <c r="X29" s="40"/>
      <c r="Y29" s="46"/>
      <c r="Z29" s="42"/>
      <c r="AA29" s="111">
        <v>1127295456</v>
      </c>
      <c r="AB29" s="112" t="s">
        <v>153</v>
      </c>
      <c r="AC29" s="17" t="str">
        <f t="shared" si="3"/>
        <v>SI</v>
      </c>
      <c r="AD29" s="17"/>
      <c r="AE29" s="115" t="s">
        <v>224</v>
      </c>
      <c r="AF29" s="114" t="s">
        <v>225</v>
      </c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43" customFormat="1">
      <c r="A30" s="45" t="s">
        <v>35</v>
      </c>
      <c r="B30" s="45" t="s">
        <v>72</v>
      </c>
      <c r="C30" s="51"/>
      <c r="D30" s="50">
        <v>42499</v>
      </c>
      <c r="E30" s="45" t="s">
        <v>73</v>
      </c>
      <c r="F30" s="92">
        <v>1735</v>
      </c>
      <c r="G30" s="32"/>
      <c r="H30" s="32"/>
      <c r="I30" s="33">
        <v>45.13</v>
      </c>
      <c r="J30" s="37">
        <f t="shared" si="0"/>
        <v>1689.87</v>
      </c>
      <c r="K30" s="44"/>
      <c r="L30" s="80"/>
      <c r="M30" s="34"/>
      <c r="N30" s="34"/>
      <c r="O30" s="34"/>
      <c r="P30" s="35"/>
      <c r="Q30" s="36">
        <v>0</v>
      </c>
      <c r="R30" s="37">
        <f t="shared" si="1"/>
        <v>1689.87</v>
      </c>
      <c r="S30" s="38">
        <f t="shared" si="4"/>
        <v>0</v>
      </c>
      <c r="T30" s="37">
        <f t="shared" si="2"/>
        <v>1689.87</v>
      </c>
      <c r="U30" s="39">
        <f>IF(J30&lt;4500,J30*0.1,0)</f>
        <v>168.98699999999999</v>
      </c>
      <c r="V30" s="38">
        <f>+'[1]C&amp;A'!D33*0.02</f>
        <v>21.911999999999999</v>
      </c>
      <c r="W30" s="37">
        <f>+J30+U30+V30</f>
        <v>1880.769</v>
      </c>
      <c r="X30" s="53"/>
      <c r="Y30" s="54"/>
      <c r="Z30" s="42">
        <f>+X30+Y30-T30</f>
        <v>-1689.87</v>
      </c>
      <c r="AA30" s="55"/>
      <c r="AB30" s="48"/>
      <c r="AC30" s="17" t="str">
        <f t="shared" si="3"/>
        <v>SI</v>
      </c>
      <c r="AD30" s="17"/>
      <c r="AE30" s="115" t="s">
        <v>226</v>
      </c>
      <c r="AF30" s="114" t="s">
        <v>227</v>
      </c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s="43" customFormat="1">
      <c r="A31" s="45" t="s">
        <v>42</v>
      </c>
      <c r="B31" s="45" t="s">
        <v>74</v>
      </c>
      <c r="C31" s="51" t="s">
        <v>75</v>
      </c>
      <c r="D31" s="30">
        <v>42086</v>
      </c>
      <c r="E31" s="45" t="s">
        <v>76</v>
      </c>
      <c r="F31" s="92">
        <v>2145</v>
      </c>
      <c r="G31" s="32"/>
      <c r="H31" s="32"/>
      <c r="I31" s="33">
        <v>45.13</v>
      </c>
      <c r="J31" s="37">
        <f t="shared" si="0"/>
        <v>2099.87</v>
      </c>
      <c r="K31" s="44"/>
      <c r="L31" s="80"/>
      <c r="M31" s="34"/>
      <c r="N31" s="34"/>
      <c r="O31" s="34"/>
      <c r="P31" s="52"/>
      <c r="Q31" s="52">
        <v>0</v>
      </c>
      <c r="R31" s="37">
        <f t="shared" si="1"/>
        <v>2099.87</v>
      </c>
      <c r="S31" s="38">
        <f t="shared" si="4"/>
        <v>0</v>
      </c>
      <c r="T31" s="37">
        <f t="shared" si="2"/>
        <v>2099.87</v>
      </c>
      <c r="U31" s="39">
        <f>IF(J31&lt;4500,J31*0.1,0)</f>
        <v>209.98699999999999</v>
      </c>
      <c r="V31" s="38">
        <f>+'[1]C&amp;A'!D35*0.02</f>
        <v>21.911999999999999</v>
      </c>
      <c r="W31" s="37">
        <f>+J31+U31+V31</f>
        <v>2331.7689999999998</v>
      </c>
      <c r="X31" s="40"/>
      <c r="Y31" s="46"/>
      <c r="Z31" s="42">
        <f>+X31+Y31-T31</f>
        <v>-2099.87</v>
      </c>
      <c r="AA31" s="42"/>
      <c r="AB31" s="48" t="s">
        <v>155</v>
      </c>
      <c r="AC31" s="17" t="str">
        <f t="shared" si="3"/>
        <v>SI</v>
      </c>
      <c r="AD31" s="17"/>
      <c r="AE31" s="115" t="s">
        <v>228</v>
      </c>
      <c r="AF31" s="114" t="s">
        <v>229</v>
      </c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56" customFormat="1">
      <c r="A32" s="27" t="s">
        <v>55</v>
      </c>
      <c r="B32" s="45" t="s">
        <v>77</v>
      </c>
      <c r="C32" s="29" t="s">
        <v>78</v>
      </c>
      <c r="D32" s="30">
        <v>41464</v>
      </c>
      <c r="E32" s="27" t="s">
        <v>68</v>
      </c>
      <c r="F32" s="91">
        <v>1776</v>
      </c>
      <c r="G32" s="32"/>
      <c r="H32" s="32"/>
      <c r="I32" s="33">
        <v>45.13</v>
      </c>
      <c r="J32" s="37">
        <f t="shared" si="0"/>
        <v>1730.87</v>
      </c>
      <c r="K32" s="44"/>
      <c r="L32" s="80"/>
      <c r="M32" s="34"/>
      <c r="N32" s="34"/>
      <c r="O32" s="34"/>
      <c r="P32" s="35"/>
      <c r="Q32" s="36">
        <v>313.89999999999998</v>
      </c>
      <c r="R32" s="37">
        <f t="shared" si="1"/>
        <v>1416.9699999999998</v>
      </c>
      <c r="S32" s="38">
        <f t="shared" si="4"/>
        <v>0</v>
      </c>
      <c r="T32" s="37">
        <f t="shared" si="2"/>
        <v>1416.9699999999998</v>
      </c>
      <c r="U32" s="39">
        <f>IF(J32&lt;4500,J32*0.1,0)</f>
        <v>173.08699999999999</v>
      </c>
      <c r="V32" s="38">
        <f>+'[1]C&amp;A'!D37*0.02</f>
        <v>21.911999999999999</v>
      </c>
      <c r="W32" s="37">
        <f>+J32+U32+V32</f>
        <v>1925.8689999999999</v>
      </c>
      <c r="X32" s="40"/>
      <c r="Y32" s="41"/>
      <c r="Z32" s="42">
        <f>+X32+Y32-T32</f>
        <v>-1416.9699999999998</v>
      </c>
      <c r="AA32" s="42"/>
      <c r="AB32" s="45"/>
      <c r="AC32" s="17" t="str">
        <f t="shared" si="3"/>
        <v>SI</v>
      </c>
      <c r="AD32" s="17"/>
      <c r="AE32" s="115" t="s">
        <v>230</v>
      </c>
      <c r="AF32" s="114" t="s">
        <v>231</v>
      </c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181" s="56" customFormat="1">
      <c r="A33" s="27" t="s">
        <v>55</v>
      </c>
      <c r="B33" s="27" t="s">
        <v>79</v>
      </c>
      <c r="C33" s="29">
        <v>56</v>
      </c>
      <c r="D33" s="30">
        <v>40033</v>
      </c>
      <c r="E33" s="27" t="s">
        <v>80</v>
      </c>
      <c r="F33" s="91">
        <v>11503.77</v>
      </c>
      <c r="G33" s="32"/>
      <c r="H33" s="32"/>
      <c r="I33" s="33">
        <v>45.13</v>
      </c>
      <c r="J33" s="37">
        <f t="shared" si="0"/>
        <v>11458.640000000001</v>
      </c>
      <c r="K33" s="44"/>
      <c r="L33" s="80"/>
      <c r="M33" s="34"/>
      <c r="N33" s="34"/>
      <c r="O33" s="34"/>
      <c r="P33" s="35"/>
      <c r="Q33" s="36">
        <v>0</v>
      </c>
      <c r="R33" s="37">
        <f t="shared" si="1"/>
        <v>11458.640000000001</v>
      </c>
      <c r="S33" s="38">
        <f t="shared" si="4"/>
        <v>1145.8640000000003</v>
      </c>
      <c r="T33" s="37">
        <f t="shared" si="2"/>
        <v>10312.776000000002</v>
      </c>
      <c r="U33" s="39">
        <f>IF(J33&lt;4500,J33*0.1,0)</f>
        <v>0</v>
      </c>
      <c r="V33" s="38">
        <f>+'[1]C&amp;A'!D38*0.02</f>
        <v>21.911999999999999</v>
      </c>
      <c r="W33" s="37">
        <f>+J33+U33+V33</f>
        <v>11480.552000000001</v>
      </c>
      <c r="X33" s="40"/>
      <c r="Y33" s="41"/>
      <c r="Z33" s="42">
        <f>+X33+Y33-T33</f>
        <v>-10312.776000000002</v>
      </c>
      <c r="AA33" s="42"/>
      <c r="AB33" s="45"/>
      <c r="AC33" s="17" t="str">
        <f t="shared" si="3"/>
        <v>SI</v>
      </c>
      <c r="AD33" s="17"/>
      <c r="AE33" s="115" t="s">
        <v>232</v>
      </c>
      <c r="AF33" s="114" t="s">
        <v>233</v>
      </c>
      <c r="AG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181" s="56" customFormat="1">
      <c r="A34" s="27" t="s">
        <v>55</v>
      </c>
      <c r="B34" s="27" t="s">
        <v>118</v>
      </c>
      <c r="C34" s="29"/>
      <c r="D34" s="30">
        <v>42591</v>
      </c>
      <c r="E34" s="27" t="s">
        <v>38</v>
      </c>
      <c r="F34" s="91">
        <v>0</v>
      </c>
      <c r="G34" s="32"/>
      <c r="H34" s="32"/>
      <c r="I34" s="33">
        <v>45.13</v>
      </c>
      <c r="J34" s="37">
        <f t="shared" si="0"/>
        <v>-45.13</v>
      </c>
      <c r="K34" s="44"/>
      <c r="L34" s="80"/>
      <c r="M34" s="34"/>
      <c r="N34" s="34"/>
      <c r="O34" s="34"/>
      <c r="P34" s="35"/>
      <c r="Q34" s="36">
        <v>0</v>
      </c>
      <c r="R34" s="37">
        <f t="shared" si="1"/>
        <v>-45.13</v>
      </c>
      <c r="S34" s="38"/>
      <c r="T34" s="37">
        <f t="shared" si="2"/>
        <v>-45.13</v>
      </c>
      <c r="U34" s="39"/>
      <c r="V34" s="38"/>
      <c r="W34" s="37"/>
      <c r="X34" s="40"/>
      <c r="Y34" s="41"/>
      <c r="Z34" s="42"/>
      <c r="AA34" s="42"/>
      <c r="AB34" s="45"/>
      <c r="AC34" s="17" t="str">
        <f t="shared" si="3"/>
        <v>SI</v>
      </c>
      <c r="AD34" s="17"/>
      <c r="AE34" s="115" t="s">
        <v>234</v>
      </c>
      <c r="AF34" s="114" t="s">
        <v>235</v>
      </c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181" s="43" customFormat="1">
      <c r="A35" s="27" t="s">
        <v>42</v>
      </c>
      <c r="B35" s="45" t="s">
        <v>81</v>
      </c>
      <c r="C35" s="29" t="s">
        <v>82</v>
      </c>
      <c r="D35" s="30">
        <v>42275</v>
      </c>
      <c r="E35" s="27" t="s">
        <v>83</v>
      </c>
      <c r="F35" s="91">
        <v>4582.74</v>
      </c>
      <c r="G35" s="32"/>
      <c r="H35" s="32"/>
      <c r="I35" s="33">
        <v>45.13</v>
      </c>
      <c r="J35" s="37">
        <f t="shared" si="0"/>
        <v>4537.6099999999997</v>
      </c>
      <c r="K35" s="44"/>
      <c r="L35" s="80"/>
      <c r="M35" s="34"/>
      <c r="N35" s="34"/>
      <c r="O35" s="34"/>
      <c r="P35" s="35"/>
      <c r="Q35" s="36">
        <v>0</v>
      </c>
      <c r="R35" s="37">
        <f t="shared" si="1"/>
        <v>4537.6099999999997</v>
      </c>
      <c r="S35" s="38">
        <f t="shared" ref="S35:S41" si="5">IF(J35&gt;4500,J35*0.1,0)</f>
        <v>453.76099999999997</v>
      </c>
      <c r="T35" s="37">
        <f t="shared" si="2"/>
        <v>4083.8489999999997</v>
      </c>
      <c r="U35" s="39">
        <f t="shared" ref="U35:U41" si="6">IF(J35&lt;4500,J35*0.1,0)</f>
        <v>0</v>
      </c>
      <c r="V35" s="38">
        <f>+'[1]C&amp;A'!D39*0.02</f>
        <v>21.911999999999999</v>
      </c>
      <c r="W35" s="37">
        <f>+J35+U35+V35</f>
        <v>4559.5219999999999</v>
      </c>
      <c r="X35" s="40"/>
      <c r="Y35" s="46"/>
      <c r="Z35" s="42">
        <f>+X35+Y35-T35</f>
        <v>-4083.8489999999997</v>
      </c>
      <c r="AA35" s="42"/>
      <c r="AB35" s="57"/>
      <c r="AC35" s="17" t="str">
        <f t="shared" si="3"/>
        <v>SI</v>
      </c>
      <c r="AD35" s="17"/>
      <c r="AE35" s="115" t="s">
        <v>236</v>
      </c>
      <c r="AF35" s="114" t="s">
        <v>237</v>
      </c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181" s="43" customFormat="1">
      <c r="A36" s="27" t="s">
        <v>55</v>
      </c>
      <c r="B36" s="27" t="s">
        <v>84</v>
      </c>
      <c r="C36" s="27">
        <v>23</v>
      </c>
      <c r="D36" s="30">
        <v>39114</v>
      </c>
      <c r="E36" s="27" t="s">
        <v>85</v>
      </c>
      <c r="F36" s="91">
        <v>20447.07</v>
      </c>
      <c r="G36" s="32"/>
      <c r="H36" s="32"/>
      <c r="I36" s="33">
        <v>45.13</v>
      </c>
      <c r="J36" s="37">
        <f t="shared" si="0"/>
        <v>20401.939999999999</v>
      </c>
      <c r="K36" s="44"/>
      <c r="L36" s="80"/>
      <c r="M36" s="34"/>
      <c r="N36" s="34"/>
      <c r="O36" s="34"/>
      <c r="P36" s="35"/>
      <c r="Q36" s="36">
        <v>357.22</v>
      </c>
      <c r="R36" s="37">
        <f t="shared" si="1"/>
        <v>20044.719999999998</v>
      </c>
      <c r="S36" s="38">
        <f t="shared" si="5"/>
        <v>2040.194</v>
      </c>
      <c r="T36" s="37">
        <f t="shared" si="2"/>
        <v>18004.525999999998</v>
      </c>
      <c r="U36" s="39">
        <f t="shared" si="6"/>
        <v>0</v>
      </c>
      <c r="V36" s="38">
        <f>+'[1]C&amp;A'!D40*0.02</f>
        <v>21.911999999999999</v>
      </c>
      <c r="W36" s="37">
        <f>+J36+U36+V36</f>
        <v>20423.851999999999</v>
      </c>
      <c r="X36" s="40"/>
      <c r="Y36" s="58"/>
      <c r="Z36" s="42">
        <f>+X36+Y36-T36</f>
        <v>-18004.525999999998</v>
      </c>
      <c r="AA36" s="42"/>
      <c r="AB36" s="45"/>
      <c r="AC36" s="17" t="str">
        <f t="shared" si="3"/>
        <v>SI</v>
      </c>
      <c r="AD36" s="17"/>
      <c r="AE36" s="115" t="s">
        <v>238</v>
      </c>
      <c r="AF36" s="114" t="s">
        <v>239</v>
      </c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</row>
    <row r="37" spans="1:181" s="43" customFormat="1">
      <c r="A37" s="45" t="s">
        <v>35</v>
      </c>
      <c r="B37" s="95" t="s">
        <v>299</v>
      </c>
      <c r="C37" s="65" t="s">
        <v>125</v>
      </c>
      <c r="D37" s="30">
        <v>42325</v>
      </c>
      <c r="E37" s="27" t="s">
        <v>126</v>
      </c>
      <c r="F37" s="92">
        <v>0</v>
      </c>
      <c r="G37" s="45"/>
      <c r="H37" s="32"/>
      <c r="I37" s="33">
        <v>45.13</v>
      </c>
      <c r="J37" s="37">
        <f t="shared" si="0"/>
        <v>-45.13</v>
      </c>
      <c r="K37" s="44"/>
      <c r="L37" s="80"/>
      <c r="M37" s="34"/>
      <c r="N37" s="34"/>
      <c r="O37" s="34"/>
      <c r="P37" s="52"/>
      <c r="Q37" s="52">
        <v>0</v>
      </c>
      <c r="R37" s="37">
        <f t="shared" si="1"/>
        <v>-45.13</v>
      </c>
      <c r="S37" s="38">
        <f t="shared" si="5"/>
        <v>0</v>
      </c>
      <c r="T37" s="37">
        <f t="shared" si="2"/>
        <v>-45.13</v>
      </c>
      <c r="U37" s="39">
        <f t="shared" si="6"/>
        <v>-4.5130000000000008</v>
      </c>
      <c r="V37" s="38"/>
      <c r="W37" s="37"/>
      <c r="X37" s="40"/>
      <c r="Y37" s="58"/>
      <c r="Z37" s="42"/>
      <c r="AA37" s="42"/>
      <c r="AB37" s="45"/>
      <c r="AC37" s="17" t="str">
        <f t="shared" si="3"/>
        <v>SI</v>
      </c>
      <c r="AD37" s="17"/>
      <c r="AE37" s="115" t="s">
        <v>240</v>
      </c>
      <c r="AF37" s="114" t="s">
        <v>241</v>
      </c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181" s="43" customFormat="1">
      <c r="A38" s="27" t="s">
        <v>89</v>
      </c>
      <c r="B38" s="27" t="s">
        <v>90</v>
      </c>
      <c r="C38" s="29">
        <v>9</v>
      </c>
      <c r="D38" s="30">
        <v>39814</v>
      </c>
      <c r="E38" s="27" t="s">
        <v>89</v>
      </c>
      <c r="F38" s="91">
        <v>30076.21</v>
      </c>
      <c r="G38" s="32"/>
      <c r="H38" s="32"/>
      <c r="I38" s="33">
        <v>45.13</v>
      </c>
      <c r="J38" s="37">
        <f t="shared" si="0"/>
        <v>30031.079999999998</v>
      </c>
      <c r="K38" s="44"/>
      <c r="L38" s="80"/>
      <c r="M38" s="34"/>
      <c r="N38" s="34"/>
      <c r="O38" s="34"/>
      <c r="P38" s="35"/>
      <c r="Q38" s="36">
        <v>1350</v>
      </c>
      <c r="R38" s="37">
        <f t="shared" si="1"/>
        <v>28681.079999999998</v>
      </c>
      <c r="S38" s="38">
        <f t="shared" si="5"/>
        <v>3003.1080000000002</v>
      </c>
      <c r="T38" s="37">
        <f t="shared" si="2"/>
        <v>25677.971999999998</v>
      </c>
      <c r="U38" s="39">
        <f t="shared" si="6"/>
        <v>0</v>
      </c>
      <c r="V38" s="38">
        <f>+'[1]C&amp;A'!D44*0.02</f>
        <v>21.911999999999999</v>
      </c>
      <c r="W38" s="37">
        <f>+J38+U38+V38</f>
        <v>30052.991999999998</v>
      </c>
      <c r="X38" s="40"/>
      <c r="Y38" s="46"/>
      <c r="Z38" s="42">
        <f>+X38+Y38-T38</f>
        <v>-25677.971999999998</v>
      </c>
      <c r="AA38" s="42"/>
      <c r="AB38" s="45"/>
      <c r="AC38" s="17" t="str">
        <f t="shared" si="3"/>
        <v>SI</v>
      </c>
      <c r="AD38" s="17"/>
      <c r="AE38" s="115" t="s">
        <v>242</v>
      </c>
      <c r="AF38" s="114" t="s">
        <v>243</v>
      </c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181" s="43" customFormat="1">
      <c r="A39" s="27" t="s">
        <v>42</v>
      </c>
      <c r="B39" s="45" t="s">
        <v>95</v>
      </c>
      <c r="C39" s="29" t="s">
        <v>96</v>
      </c>
      <c r="D39" s="30">
        <v>42222</v>
      </c>
      <c r="E39" s="27" t="s">
        <v>97</v>
      </c>
      <c r="F39" s="91">
        <v>1000</v>
      </c>
      <c r="G39" s="32"/>
      <c r="H39" s="32"/>
      <c r="I39" s="33">
        <v>45.13</v>
      </c>
      <c r="J39" s="37">
        <f t="shared" si="0"/>
        <v>954.87</v>
      </c>
      <c r="K39" s="44"/>
      <c r="L39" s="80">
        <v>1</v>
      </c>
      <c r="M39" s="34"/>
      <c r="N39" s="34"/>
      <c r="O39" s="34"/>
      <c r="P39" s="35"/>
      <c r="Q39" s="36">
        <v>0</v>
      </c>
      <c r="R39" s="37">
        <f t="shared" si="1"/>
        <v>953.87</v>
      </c>
      <c r="S39" s="38">
        <f t="shared" si="5"/>
        <v>0</v>
      </c>
      <c r="T39" s="37">
        <f t="shared" si="2"/>
        <v>953.87</v>
      </c>
      <c r="U39" s="39">
        <f t="shared" si="6"/>
        <v>95.487000000000009</v>
      </c>
      <c r="V39" s="38">
        <f>+'[1]C&amp;A'!D52*0.02</f>
        <v>21.911999999999999</v>
      </c>
      <c r="W39" s="37">
        <f>+J39+U39+V39</f>
        <v>1072.269</v>
      </c>
      <c r="X39" s="40"/>
      <c r="Y39" s="46"/>
      <c r="Z39" s="42">
        <f>+X39+Y39-T39</f>
        <v>-953.87</v>
      </c>
      <c r="AA39" s="42"/>
      <c r="AB39" s="45"/>
      <c r="AC39" s="17" t="str">
        <f t="shared" si="3"/>
        <v>SI</v>
      </c>
      <c r="AD39" s="17"/>
      <c r="AE39" s="115" t="s">
        <v>244</v>
      </c>
      <c r="AF39" s="114" t="s">
        <v>245</v>
      </c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181" s="43" customFormat="1">
      <c r="A40" s="27" t="s">
        <v>42</v>
      </c>
      <c r="B40" s="27" t="s">
        <v>99</v>
      </c>
      <c r="C40" s="29" t="s">
        <v>100</v>
      </c>
      <c r="D40" s="30">
        <v>41428</v>
      </c>
      <c r="E40" s="27" t="s">
        <v>101</v>
      </c>
      <c r="F40" s="91">
        <v>11912.12</v>
      </c>
      <c r="G40" s="32"/>
      <c r="H40" s="32"/>
      <c r="I40" s="33">
        <v>45.13</v>
      </c>
      <c r="J40" s="37">
        <f t="shared" si="0"/>
        <v>11866.990000000002</v>
      </c>
      <c r="K40" s="44"/>
      <c r="L40" s="80"/>
      <c r="M40" s="34"/>
      <c r="N40" s="34"/>
      <c r="O40" s="34"/>
      <c r="P40" s="35"/>
      <c r="Q40" s="36">
        <v>0</v>
      </c>
      <c r="R40" s="37">
        <f t="shared" si="1"/>
        <v>11866.990000000002</v>
      </c>
      <c r="S40" s="38">
        <f t="shared" si="5"/>
        <v>1186.6990000000003</v>
      </c>
      <c r="T40" s="37">
        <f t="shared" si="2"/>
        <v>10680.291000000001</v>
      </c>
      <c r="U40" s="39">
        <f t="shared" si="6"/>
        <v>0</v>
      </c>
      <c r="V40" s="38">
        <f>+'[1]C&amp;A'!D54*0.02</f>
        <v>21.911999999999999</v>
      </c>
      <c r="W40" s="37">
        <f>+J40+U40+V40</f>
        <v>11888.902000000002</v>
      </c>
      <c r="X40" s="40"/>
      <c r="Y40" s="41"/>
      <c r="Z40" s="42">
        <f>+X40+Y40-T40</f>
        <v>-10680.291000000001</v>
      </c>
      <c r="AA40" s="42"/>
      <c r="AB40" s="45"/>
      <c r="AC40" s="17" t="str">
        <f t="shared" si="3"/>
        <v>SI</v>
      </c>
      <c r="AD40" s="17"/>
      <c r="AE40" s="115" t="s">
        <v>246</v>
      </c>
      <c r="AF40" s="114" t="s">
        <v>247</v>
      </c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181" s="59" customFormat="1">
      <c r="A41" s="27" t="s">
        <v>93</v>
      </c>
      <c r="B41" s="27" t="s">
        <v>102</v>
      </c>
      <c r="C41" s="29">
        <v>8</v>
      </c>
      <c r="D41" s="30">
        <v>39608</v>
      </c>
      <c r="E41" s="27" t="s">
        <v>103</v>
      </c>
      <c r="F41" s="91">
        <v>14605.34</v>
      </c>
      <c r="G41" s="32"/>
      <c r="H41" s="32"/>
      <c r="I41" s="33">
        <v>45.13</v>
      </c>
      <c r="J41" s="37">
        <f t="shared" si="0"/>
        <v>14560.210000000001</v>
      </c>
      <c r="K41" s="44"/>
      <c r="L41" s="80"/>
      <c r="M41" s="34"/>
      <c r="N41" s="34"/>
      <c r="O41" s="34"/>
      <c r="P41" s="35">
        <v>435</v>
      </c>
      <c r="Q41" s="36">
        <v>0</v>
      </c>
      <c r="R41" s="37">
        <f t="shared" si="1"/>
        <v>14125.210000000001</v>
      </c>
      <c r="S41" s="38">
        <f t="shared" si="5"/>
        <v>1456.0210000000002</v>
      </c>
      <c r="T41" s="37">
        <f t="shared" si="2"/>
        <v>12669.189</v>
      </c>
      <c r="U41" s="39">
        <f t="shared" si="6"/>
        <v>0</v>
      </c>
      <c r="V41" s="38">
        <f>+'[1]C&amp;A'!D55*0.02</f>
        <v>21.911999999999999</v>
      </c>
      <c r="W41" s="37">
        <f>+J41+U41+V41</f>
        <v>14582.122000000001</v>
      </c>
      <c r="X41" s="40"/>
      <c r="Y41" s="46"/>
      <c r="Z41" s="42">
        <f>+X41+Y41-T41</f>
        <v>-12669.189</v>
      </c>
      <c r="AA41" s="42"/>
      <c r="AB41" s="45"/>
      <c r="AC41" s="17" t="str">
        <f t="shared" si="3"/>
        <v>SI</v>
      </c>
      <c r="AD41" s="17"/>
      <c r="AE41" s="115" t="s">
        <v>248</v>
      </c>
      <c r="AF41" s="114" t="s">
        <v>249</v>
      </c>
      <c r="AG41" s="62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</row>
    <row r="42" spans="1:181" s="59" customFormat="1">
      <c r="A42" s="27" t="s">
        <v>35</v>
      </c>
      <c r="B42" s="95" t="s">
        <v>127</v>
      </c>
      <c r="C42" s="29" t="s">
        <v>128</v>
      </c>
      <c r="D42" s="30">
        <v>41793</v>
      </c>
      <c r="E42" s="27" t="s">
        <v>129</v>
      </c>
      <c r="F42" s="91">
        <v>6250</v>
      </c>
      <c r="G42" s="32"/>
      <c r="H42" s="32"/>
      <c r="I42" s="33">
        <v>45.13</v>
      </c>
      <c r="J42" s="37">
        <f t="shared" si="0"/>
        <v>6204.87</v>
      </c>
      <c r="K42" s="44"/>
      <c r="L42" s="80"/>
      <c r="M42" s="34"/>
      <c r="N42" s="34"/>
      <c r="O42" s="34"/>
      <c r="P42" s="35"/>
      <c r="Q42" s="36">
        <v>0</v>
      </c>
      <c r="R42" s="37">
        <f t="shared" si="1"/>
        <v>6204.87</v>
      </c>
      <c r="S42" s="38"/>
      <c r="T42" s="37">
        <f t="shared" si="2"/>
        <v>6204.87</v>
      </c>
      <c r="U42" s="39"/>
      <c r="V42" s="38"/>
      <c r="W42" s="37"/>
      <c r="X42" s="40"/>
      <c r="Y42" s="46"/>
      <c r="Z42" s="42"/>
      <c r="AA42" s="42"/>
      <c r="AB42" s="48" t="s">
        <v>156</v>
      </c>
      <c r="AC42" s="17" t="str">
        <f t="shared" si="3"/>
        <v>SI</v>
      </c>
      <c r="AD42" s="17"/>
      <c r="AE42" s="115" t="s">
        <v>250</v>
      </c>
      <c r="AF42" s="114" t="s">
        <v>251</v>
      </c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</row>
    <row r="43" spans="1:181" s="59" customFormat="1">
      <c r="A43" s="27" t="s">
        <v>42</v>
      </c>
      <c r="B43" s="27" t="s">
        <v>158</v>
      </c>
      <c r="C43" s="29"/>
      <c r="D43" s="30">
        <v>42626</v>
      </c>
      <c r="E43" s="27" t="s">
        <v>76</v>
      </c>
      <c r="F43" s="91">
        <v>865</v>
      </c>
      <c r="G43" s="32"/>
      <c r="H43" s="32"/>
      <c r="I43" s="33">
        <v>45.13</v>
      </c>
      <c r="J43" s="37">
        <f t="shared" si="0"/>
        <v>819.87</v>
      </c>
      <c r="K43" s="44"/>
      <c r="L43" s="80"/>
      <c r="M43" s="34"/>
      <c r="N43" s="34"/>
      <c r="O43" s="34"/>
      <c r="P43" s="35"/>
      <c r="Q43" s="36">
        <v>0</v>
      </c>
      <c r="R43" s="37">
        <f t="shared" si="1"/>
        <v>819.87</v>
      </c>
      <c r="S43" s="38"/>
      <c r="T43" s="37">
        <f t="shared" si="2"/>
        <v>819.87</v>
      </c>
      <c r="U43" s="39"/>
      <c r="V43" s="38"/>
      <c r="W43" s="37"/>
      <c r="X43" s="40"/>
      <c r="Y43" s="46"/>
      <c r="Z43" s="42"/>
      <c r="AA43" s="64">
        <v>1136601197</v>
      </c>
      <c r="AB43" s="48"/>
      <c r="AC43" s="17" t="str">
        <f t="shared" si="3"/>
        <v>SI</v>
      </c>
      <c r="AD43" s="17"/>
      <c r="AE43" s="115" t="s">
        <v>252</v>
      </c>
      <c r="AF43" s="114" t="s">
        <v>253</v>
      </c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</row>
    <row r="44" spans="1:181" s="60" customFormat="1">
      <c r="A44" s="27" t="s">
        <v>55</v>
      </c>
      <c r="B44" s="27" t="s">
        <v>115</v>
      </c>
      <c r="C44" s="29"/>
      <c r="D44" s="30">
        <v>42569</v>
      </c>
      <c r="E44" s="27" t="s">
        <v>116</v>
      </c>
      <c r="F44" s="91">
        <v>0</v>
      </c>
      <c r="G44" s="32"/>
      <c r="H44" s="32"/>
      <c r="I44" s="33">
        <v>45.13</v>
      </c>
      <c r="J44" s="37">
        <f t="shared" si="0"/>
        <v>-45.13</v>
      </c>
      <c r="K44" s="44"/>
      <c r="L44" s="80"/>
      <c r="M44" s="34"/>
      <c r="N44" s="34"/>
      <c r="O44" s="34"/>
      <c r="P44" s="35"/>
      <c r="Q44" s="36">
        <v>0</v>
      </c>
      <c r="R44" s="37">
        <f t="shared" si="1"/>
        <v>-45.13</v>
      </c>
      <c r="S44" s="38">
        <f>IF(J44&gt;4500,J44*0.1,0)</f>
        <v>0</v>
      </c>
      <c r="T44" s="37">
        <f t="shared" si="2"/>
        <v>-45.13</v>
      </c>
      <c r="U44" s="39">
        <f t="shared" ref="U44:U49" si="7">IF(J44&lt;4500,J44*0.1,0)</f>
        <v>-4.5130000000000008</v>
      </c>
      <c r="V44" s="38">
        <f>+'[1]C&amp;A'!D58*0.02</f>
        <v>21.911999999999999</v>
      </c>
      <c r="W44" s="37">
        <f>+J44+U44+V44</f>
        <v>-27.731000000000002</v>
      </c>
      <c r="X44" s="40"/>
      <c r="Y44" s="46"/>
      <c r="Z44" s="42"/>
      <c r="AA44" s="42"/>
      <c r="AB44" s="45"/>
      <c r="AC44" s="17" t="str">
        <f t="shared" si="3"/>
        <v>SI</v>
      </c>
      <c r="AD44" s="17"/>
      <c r="AE44" s="115" t="s">
        <v>254</v>
      </c>
      <c r="AF44" s="114" t="s">
        <v>255</v>
      </c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61"/>
    </row>
    <row r="45" spans="1:181" s="60" customFormat="1">
      <c r="A45" s="27" t="s">
        <v>42</v>
      </c>
      <c r="B45" s="27" t="s">
        <v>104</v>
      </c>
      <c r="C45" s="29">
        <v>18</v>
      </c>
      <c r="D45" s="30">
        <v>38733</v>
      </c>
      <c r="E45" s="27" t="s">
        <v>132</v>
      </c>
      <c r="F45" s="91">
        <v>11763.56</v>
      </c>
      <c r="G45" s="32"/>
      <c r="H45" s="32"/>
      <c r="I45" s="33">
        <v>45.13</v>
      </c>
      <c r="J45" s="37">
        <f t="shared" si="0"/>
        <v>11718.43</v>
      </c>
      <c r="K45" s="44"/>
      <c r="L45" s="80"/>
      <c r="M45" s="34"/>
      <c r="N45" s="34"/>
      <c r="O45" s="34"/>
      <c r="P45" s="35"/>
      <c r="Q45" s="36">
        <v>1000</v>
      </c>
      <c r="R45" s="37">
        <f t="shared" si="1"/>
        <v>10718.43</v>
      </c>
      <c r="S45" s="38">
        <f>IF(J45&gt;4500,J45*0.1,0)</f>
        <v>1171.8430000000001</v>
      </c>
      <c r="T45" s="37">
        <f t="shared" si="2"/>
        <v>9546.5869999999995</v>
      </c>
      <c r="U45" s="39">
        <f t="shared" si="7"/>
        <v>0</v>
      </c>
      <c r="V45" s="38">
        <f>+'[1]C&amp;A'!D57*0.02</f>
        <v>21.911999999999999</v>
      </c>
      <c r="W45" s="37">
        <f>+J45+U45+V45</f>
        <v>11740.342000000001</v>
      </c>
      <c r="X45" s="40"/>
      <c r="Y45" s="46"/>
      <c r="Z45" s="42">
        <f>+X45+Y45-T45</f>
        <v>-9546.5869999999995</v>
      </c>
      <c r="AA45" s="42"/>
      <c r="AB45" s="45"/>
      <c r="AC45" s="17" t="str">
        <f t="shared" si="3"/>
        <v>SI</v>
      </c>
      <c r="AD45" s="17"/>
      <c r="AE45" s="115" t="s">
        <v>256</v>
      </c>
      <c r="AF45" s="114" t="s">
        <v>257</v>
      </c>
      <c r="AG45" s="16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61"/>
    </row>
    <row r="46" spans="1:181" s="60" customFormat="1">
      <c r="A46" s="27" t="s">
        <v>93</v>
      </c>
      <c r="B46" s="27" t="s">
        <v>137</v>
      </c>
      <c r="C46" s="29"/>
      <c r="D46" s="30">
        <v>42608</v>
      </c>
      <c r="E46" s="27" t="s">
        <v>157</v>
      </c>
      <c r="F46" s="91">
        <v>8550.98</v>
      </c>
      <c r="G46" s="32"/>
      <c r="H46" s="32"/>
      <c r="I46" s="33">
        <v>45.13</v>
      </c>
      <c r="J46" s="37">
        <f t="shared" si="0"/>
        <v>8505.85</v>
      </c>
      <c r="K46" s="44"/>
      <c r="L46" s="79"/>
      <c r="M46" s="34"/>
      <c r="N46" s="34"/>
      <c r="O46" s="34"/>
      <c r="P46" s="35"/>
      <c r="Q46" s="36">
        <v>0</v>
      </c>
      <c r="R46" s="37">
        <f t="shared" si="1"/>
        <v>8505.85</v>
      </c>
      <c r="S46" s="38">
        <f>IF(J46&gt;4500,J46*0.1,0)</f>
        <v>850.58500000000004</v>
      </c>
      <c r="T46" s="37">
        <f t="shared" si="2"/>
        <v>7655.2650000000003</v>
      </c>
      <c r="U46" s="39">
        <f t="shared" si="7"/>
        <v>0</v>
      </c>
      <c r="V46" s="38"/>
      <c r="W46" s="37"/>
      <c r="X46" s="40"/>
      <c r="Y46" s="46"/>
      <c r="Z46" s="42"/>
      <c r="AA46" s="42"/>
      <c r="AB46" s="45"/>
      <c r="AC46" s="17" t="str">
        <f t="shared" si="3"/>
        <v>SI</v>
      </c>
      <c r="AD46" s="62"/>
      <c r="AE46" s="115" t="s">
        <v>258</v>
      </c>
      <c r="AF46" s="114" t="s">
        <v>259</v>
      </c>
      <c r="AG46" s="16"/>
      <c r="AH46" s="62"/>
      <c r="AI46" s="62"/>
      <c r="AJ46" s="62"/>
      <c r="AK46" s="17"/>
      <c r="AL46" s="17"/>
      <c r="AM46" s="17"/>
      <c r="AN46" s="17"/>
      <c r="AO46" s="17"/>
      <c r="AP46" s="17"/>
      <c r="AQ46" s="17"/>
      <c r="AR46" s="17"/>
      <c r="AS46" s="17"/>
    </row>
    <row r="47" spans="1:181" s="63" customFormat="1">
      <c r="A47" s="27" t="s">
        <v>89</v>
      </c>
      <c r="B47" s="27" t="s">
        <v>105</v>
      </c>
      <c r="C47" s="27" t="s">
        <v>106</v>
      </c>
      <c r="D47" s="30">
        <v>42321</v>
      </c>
      <c r="E47" s="27" t="s">
        <v>89</v>
      </c>
      <c r="F47" s="91">
        <v>11893.38</v>
      </c>
      <c r="G47" s="32"/>
      <c r="H47" s="32"/>
      <c r="I47" s="33">
        <v>45.13</v>
      </c>
      <c r="J47" s="37">
        <f t="shared" si="0"/>
        <v>11848.25</v>
      </c>
      <c r="K47" s="44"/>
      <c r="L47" s="79"/>
      <c r="M47" s="34"/>
      <c r="N47" s="34"/>
      <c r="O47" s="34"/>
      <c r="P47" s="35"/>
      <c r="Q47" s="36">
        <v>500</v>
      </c>
      <c r="R47" s="37">
        <f t="shared" si="1"/>
        <v>11348.25</v>
      </c>
      <c r="S47" s="38">
        <f>IF(J47&gt;4500,J47*0.1,0)</f>
        <v>1184.825</v>
      </c>
      <c r="T47" s="37">
        <f t="shared" si="2"/>
        <v>10163.424999999999</v>
      </c>
      <c r="U47" s="39">
        <f t="shared" si="7"/>
        <v>0</v>
      </c>
      <c r="V47" s="38">
        <f>+'[1]C&amp;A'!D61*0.02</f>
        <v>21.911999999999999</v>
      </c>
      <c r="W47" s="37">
        <f>+J47+U47+V47</f>
        <v>11870.162</v>
      </c>
      <c r="X47" s="40"/>
      <c r="Y47" s="41"/>
      <c r="Z47" s="42">
        <f>+X47+Y47-T47</f>
        <v>-10163.424999999999</v>
      </c>
      <c r="AA47" s="42"/>
      <c r="AB47" s="45"/>
      <c r="AC47" s="17" t="str">
        <f t="shared" si="3"/>
        <v>SI</v>
      </c>
      <c r="AD47" s="17"/>
      <c r="AE47" s="115" t="s">
        <v>260</v>
      </c>
      <c r="AF47" s="114" t="s">
        <v>261</v>
      </c>
      <c r="AG47" s="16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</row>
    <row r="48" spans="1:181" s="63" customFormat="1">
      <c r="A48" s="27" t="s">
        <v>35</v>
      </c>
      <c r="B48" s="45" t="s">
        <v>107</v>
      </c>
      <c r="C48" s="27"/>
      <c r="D48" s="30">
        <v>42169</v>
      </c>
      <c r="E48" s="27" t="s">
        <v>38</v>
      </c>
      <c r="F48" s="91">
        <v>0</v>
      </c>
      <c r="G48" s="32"/>
      <c r="H48" s="32"/>
      <c r="I48" s="33">
        <v>45.13</v>
      </c>
      <c r="J48" s="37">
        <f t="shared" si="0"/>
        <v>-45.13</v>
      </c>
      <c r="K48" s="44"/>
      <c r="L48" s="79"/>
      <c r="M48" s="34"/>
      <c r="N48" s="34"/>
      <c r="O48" s="34"/>
      <c r="P48" s="35"/>
      <c r="Q48" s="36">
        <v>0</v>
      </c>
      <c r="R48" s="37">
        <f t="shared" si="1"/>
        <v>-45.13</v>
      </c>
      <c r="S48" s="38">
        <f>IF(J48&gt;4500,J48*0.1,0)</f>
        <v>0</v>
      </c>
      <c r="T48" s="37">
        <f t="shared" si="2"/>
        <v>-45.13</v>
      </c>
      <c r="U48" s="39">
        <f t="shared" si="7"/>
        <v>-4.5130000000000008</v>
      </c>
      <c r="V48" s="38">
        <f>+'[1]C&amp;A'!D62*0.02</f>
        <v>21.911999999999999</v>
      </c>
      <c r="W48" s="37">
        <f>+J48+U48+V48</f>
        <v>-27.731000000000002</v>
      </c>
      <c r="X48" s="40"/>
      <c r="Y48" s="41"/>
      <c r="Z48" s="42">
        <f>+X48+Y48-T48</f>
        <v>45.13</v>
      </c>
      <c r="AA48" s="64"/>
      <c r="AB48" s="45"/>
      <c r="AC48" s="17" t="str">
        <f t="shared" si="3"/>
        <v>SI</v>
      </c>
      <c r="AD48" s="17"/>
      <c r="AE48" s="115" t="s">
        <v>262</v>
      </c>
      <c r="AF48" s="114" t="s">
        <v>263</v>
      </c>
      <c r="AG48" s="16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6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</row>
    <row r="49" spans="1:181" s="23" customFormat="1">
      <c r="A49" s="48"/>
      <c r="B49" s="27"/>
      <c r="C49" s="27"/>
      <c r="D49" s="27"/>
      <c r="E49" s="27"/>
      <c r="F49" s="91"/>
      <c r="G49" s="31"/>
      <c r="H49" s="31"/>
      <c r="I49" s="33"/>
      <c r="J49" s="37"/>
      <c r="K49" s="44"/>
      <c r="L49" s="79"/>
      <c r="M49" s="34"/>
      <c r="N49" s="34"/>
      <c r="O49" s="34"/>
      <c r="P49" s="38"/>
      <c r="Q49" s="38"/>
      <c r="R49" s="37"/>
      <c r="S49" s="38"/>
      <c r="T49" s="37"/>
      <c r="U49" s="39">
        <f t="shared" si="7"/>
        <v>0</v>
      </c>
      <c r="V49" s="38"/>
      <c r="W49" s="37">
        <f>+J49+U49+V49</f>
        <v>0</v>
      </c>
      <c r="X49" s="40"/>
      <c r="Y49" s="66"/>
      <c r="Z49" s="42"/>
      <c r="AA49" s="42"/>
      <c r="AB49" s="45"/>
      <c r="AC49" s="17" t="str">
        <f t="shared" si="3"/>
        <v>SI</v>
      </c>
      <c r="AD49" s="17"/>
      <c r="AE49" s="124" t="s">
        <v>264</v>
      </c>
      <c r="AF49" s="118"/>
      <c r="AG49" s="133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6"/>
    </row>
    <row r="50" spans="1:181" s="23" customFormat="1">
      <c r="A50" s="67"/>
      <c r="B50" s="68"/>
      <c r="C50" s="27"/>
      <c r="D50" s="27"/>
      <c r="E50" s="68"/>
      <c r="F50" s="93"/>
      <c r="G50" s="69"/>
      <c r="H50" s="69"/>
      <c r="I50" s="69"/>
      <c r="J50" s="70"/>
      <c r="K50" s="69"/>
      <c r="L50" s="81"/>
      <c r="M50" s="71"/>
      <c r="N50" s="71"/>
      <c r="O50" s="71"/>
      <c r="P50" s="71"/>
      <c r="Q50" s="71"/>
      <c r="R50" s="72"/>
      <c r="S50" s="71"/>
      <c r="T50" s="70"/>
      <c r="U50" s="71"/>
      <c r="V50" s="71"/>
      <c r="W50" s="70"/>
      <c r="X50" s="73"/>
      <c r="Y50" s="73"/>
      <c r="Z50" s="17"/>
      <c r="AA50" s="17"/>
      <c r="AB50" s="17"/>
      <c r="AC50" s="17"/>
      <c r="AD50" s="16"/>
      <c r="AE50" s="113"/>
      <c r="AF50" s="113"/>
      <c r="AG50" s="133"/>
      <c r="AH50" s="16"/>
      <c r="AI50" s="16"/>
      <c r="AJ50" s="16"/>
      <c r="AK50" s="17"/>
      <c r="AL50" s="17"/>
      <c r="AM50" s="17"/>
      <c r="AN50" s="17"/>
      <c r="AO50" s="17"/>
      <c r="AP50" s="17"/>
      <c r="AQ50" s="17"/>
      <c r="AR50" s="17"/>
      <c r="AS50" s="16"/>
    </row>
    <row r="51" spans="1:181" s="23" customFormat="1" ht="16.5" thickBot="1">
      <c r="A51" s="16"/>
      <c r="B51" s="74" t="s">
        <v>110</v>
      </c>
      <c r="C51" s="74"/>
      <c r="D51" s="74"/>
      <c r="E51" s="74"/>
      <c r="F51" s="94">
        <f>SUM(F7:F49)</f>
        <v>429750.31000000006</v>
      </c>
      <c r="G51" s="75">
        <f t="shared" ref="G51:O51" si="8">SUM(G10:G47)</f>
        <v>0</v>
      </c>
      <c r="H51" s="75">
        <f t="shared" si="8"/>
        <v>0</v>
      </c>
      <c r="I51" s="75">
        <f>SUM(I8:I49)</f>
        <v>1760.0700000000018</v>
      </c>
      <c r="J51" s="75">
        <f>SUM(J8:J49)</f>
        <v>418790.23999999993</v>
      </c>
      <c r="K51" s="75">
        <f>SUM(K8:K48)</f>
        <v>0</v>
      </c>
      <c r="L51" s="82">
        <f t="shared" si="8"/>
        <v>1</v>
      </c>
      <c r="M51" s="75">
        <f t="shared" si="8"/>
        <v>0</v>
      </c>
      <c r="N51" s="75">
        <f t="shared" si="8"/>
        <v>0</v>
      </c>
      <c r="O51" s="75">
        <f t="shared" si="8"/>
        <v>0</v>
      </c>
      <c r="P51" s="75">
        <f>SUM(P8:P48)</f>
        <v>2190</v>
      </c>
      <c r="Q51" s="75">
        <f>SUM(Q8:Q49)</f>
        <v>10825.029999999999</v>
      </c>
      <c r="R51" s="75">
        <f>SUM(R8:R49)</f>
        <v>405774.20999999985</v>
      </c>
      <c r="S51" s="75">
        <f>SUM(S10:S48)</f>
        <v>35193.535999999993</v>
      </c>
      <c r="T51" s="75">
        <f>SUM(T8:T49)</f>
        <v>370580.674</v>
      </c>
      <c r="U51" s="75">
        <f>SUM(U10:U47)</f>
        <v>1521.9310000000003</v>
      </c>
      <c r="V51" s="75">
        <f>SUM(V10:V47)</f>
        <v>547.79999999999984</v>
      </c>
      <c r="W51" s="75">
        <f>SUM(W10:W47)</f>
        <v>282033.49400000001</v>
      </c>
      <c r="X51" s="73"/>
      <c r="Y51" s="73"/>
      <c r="Z51" s="17"/>
      <c r="AA51" s="17"/>
      <c r="AB51" s="16"/>
      <c r="AC51" s="16"/>
      <c r="AD51" s="16"/>
      <c r="AE51" s="113"/>
      <c r="AF51" s="113"/>
      <c r="AG51" s="133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</row>
    <row r="52" spans="1:181" s="23" customFormat="1" ht="16.5" thickTop="1">
      <c r="A52" s="16"/>
      <c r="B52" s="16"/>
      <c r="C52" s="16"/>
      <c r="D52" s="16"/>
      <c r="E52" s="16"/>
      <c r="F52" s="88"/>
      <c r="G52" s="13"/>
      <c r="H52" s="13"/>
      <c r="I52" s="13"/>
      <c r="J52" s="14"/>
      <c r="K52" s="13"/>
      <c r="L52" s="78"/>
      <c r="M52" s="13"/>
      <c r="N52" s="13"/>
      <c r="O52" s="13"/>
      <c r="P52" s="13"/>
      <c r="Q52" s="13"/>
      <c r="R52" s="14"/>
      <c r="S52" s="13"/>
      <c r="T52" s="14"/>
      <c r="U52" s="13"/>
      <c r="V52" s="13"/>
      <c r="W52" s="14"/>
      <c r="X52" s="73"/>
      <c r="Y52" s="73"/>
      <c r="Z52" s="17"/>
      <c r="AA52" s="17"/>
      <c r="AB52" s="16"/>
      <c r="AC52" s="16"/>
      <c r="AD52" s="16"/>
      <c r="AE52" s="113"/>
      <c r="AF52" s="113"/>
      <c r="AG52" s="133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</row>
    <row r="53" spans="1:181" s="23" customFormat="1">
      <c r="A53" s="235" t="s">
        <v>111</v>
      </c>
      <c r="B53" s="235"/>
      <c r="C53" s="27"/>
      <c r="D53" s="27"/>
      <c r="E53" s="27"/>
      <c r="F53" s="91"/>
      <c r="G53" s="31"/>
      <c r="H53" s="31"/>
      <c r="I53" s="31"/>
      <c r="J53" s="76"/>
      <c r="K53" s="31"/>
      <c r="L53" s="83"/>
      <c r="M53" s="31"/>
      <c r="N53" s="31"/>
      <c r="O53" s="31"/>
      <c r="P53" s="31"/>
      <c r="Q53" s="31"/>
      <c r="R53" s="76"/>
      <c r="S53" s="31">
        <f>+S51-S52</f>
        <v>35193.535999999993</v>
      </c>
      <c r="T53" s="76"/>
      <c r="U53" s="31"/>
      <c r="V53" s="31"/>
      <c r="W53" s="76"/>
      <c r="X53" s="77"/>
      <c r="Y53" s="77"/>
      <c r="Z53" s="27"/>
      <c r="AA53" s="27"/>
      <c r="AB53" s="27"/>
      <c r="AC53" s="16"/>
      <c r="AD53" s="16"/>
      <c r="AE53" s="121" t="s">
        <v>266</v>
      </c>
      <c r="AF53" s="113"/>
      <c r="AG53" s="133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</row>
    <row r="54" spans="1:181" s="43" customFormat="1">
      <c r="A54" s="28" t="s">
        <v>42</v>
      </c>
      <c r="B54" s="28" t="s">
        <v>300</v>
      </c>
      <c r="C54" s="99"/>
      <c r="D54" s="100">
        <v>42635</v>
      </c>
      <c r="E54" s="28" t="s">
        <v>54</v>
      </c>
      <c r="F54" s="101">
        <v>1379.52</v>
      </c>
      <c r="G54" s="125"/>
      <c r="H54" s="102"/>
      <c r="I54" s="126">
        <v>45.13</v>
      </c>
      <c r="J54" s="127">
        <v>1334.3899999999999</v>
      </c>
      <c r="K54" s="102"/>
      <c r="L54" s="105"/>
      <c r="M54" s="103"/>
      <c r="N54" s="103"/>
      <c r="O54" s="103"/>
      <c r="P54" s="128"/>
      <c r="Q54" s="104">
        <v>0</v>
      </c>
      <c r="R54" s="127">
        <v>1334.3899999999999</v>
      </c>
      <c r="S54" s="103">
        <v>0</v>
      </c>
      <c r="T54" s="127">
        <v>1334.3899999999999</v>
      </c>
      <c r="U54" s="103"/>
      <c r="V54" s="103"/>
      <c r="W54" s="127"/>
      <c r="X54" s="129"/>
      <c r="Y54" s="130"/>
      <c r="Z54" s="131"/>
      <c r="AA54" s="132">
        <v>1132634759</v>
      </c>
      <c r="AB54" s="28"/>
      <c r="AC54" s="17" t="str">
        <f>IF(B54=AF54,"SI","NO")</f>
        <v>SI</v>
      </c>
      <c r="AD54" s="16"/>
      <c r="AE54" s="115" t="s">
        <v>267</v>
      </c>
      <c r="AF54" s="114" t="s">
        <v>268</v>
      </c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</row>
    <row r="55" spans="1:181" s="43" customFormat="1">
      <c r="A55" s="28" t="s">
        <v>134</v>
      </c>
      <c r="B55" s="28" t="s">
        <v>53</v>
      </c>
      <c r="C55" s="99"/>
      <c r="D55" s="100">
        <v>42429</v>
      </c>
      <c r="E55" s="28" t="s">
        <v>54</v>
      </c>
      <c r="F55" s="101">
        <v>2140</v>
      </c>
      <c r="G55" s="125"/>
      <c r="H55" s="102"/>
      <c r="I55" s="126">
        <v>45.13</v>
      </c>
      <c r="J55" s="127">
        <v>2094.87</v>
      </c>
      <c r="K55" s="102"/>
      <c r="L55" s="105"/>
      <c r="M55" s="103"/>
      <c r="N55" s="103"/>
      <c r="O55" s="103"/>
      <c r="P55" s="128"/>
      <c r="Q55" s="104">
        <v>0</v>
      </c>
      <c r="R55" s="127">
        <v>2094.87</v>
      </c>
      <c r="S55" s="103">
        <v>0</v>
      </c>
      <c r="T55" s="127">
        <v>2094.87</v>
      </c>
      <c r="U55" s="103">
        <v>209.48699999999999</v>
      </c>
      <c r="V55" s="103">
        <v>21.911999999999999</v>
      </c>
      <c r="W55" s="127">
        <v>2326.2689999999998</v>
      </c>
      <c r="X55" s="129"/>
      <c r="Y55" s="134"/>
      <c r="Z55" s="131">
        <v>-2094.87</v>
      </c>
      <c r="AA55" s="131"/>
      <c r="AB55" s="28"/>
      <c r="AC55" s="17" t="str">
        <f t="shared" ref="AC55:AC66" si="9">IF(B55=AF55,"SI","NO")</f>
        <v>SI</v>
      </c>
      <c r="AD55" s="133"/>
      <c r="AE55" s="115" t="s">
        <v>269</v>
      </c>
      <c r="AF55" s="114" t="s">
        <v>270</v>
      </c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</row>
    <row r="56" spans="1:181" s="43" customFormat="1">
      <c r="A56" s="28" t="s">
        <v>134</v>
      </c>
      <c r="B56" s="28" t="s">
        <v>135</v>
      </c>
      <c r="C56" s="99"/>
      <c r="D56" s="100">
        <v>42599</v>
      </c>
      <c r="E56" s="28" t="s">
        <v>54</v>
      </c>
      <c r="F56" s="101">
        <v>1950</v>
      </c>
      <c r="G56" s="125"/>
      <c r="H56" s="102"/>
      <c r="I56" s="126">
        <v>45.13</v>
      </c>
      <c r="J56" s="127">
        <v>1904.87</v>
      </c>
      <c r="K56" s="102"/>
      <c r="L56" s="105"/>
      <c r="M56" s="103"/>
      <c r="N56" s="103"/>
      <c r="O56" s="103"/>
      <c r="P56" s="128"/>
      <c r="Q56" s="104">
        <v>0</v>
      </c>
      <c r="R56" s="127">
        <v>1904.87</v>
      </c>
      <c r="S56" s="103">
        <v>0</v>
      </c>
      <c r="T56" s="127">
        <v>1904.87</v>
      </c>
      <c r="U56" s="103">
        <v>190.48699999999999</v>
      </c>
      <c r="V56" s="103">
        <v>21.911999999999999</v>
      </c>
      <c r="W56" s="127">
        <v>2117.2689999999998</v>
      </c>
      <c r="X56" s="129"/>
      <c r="Y56" s="134"/>
      <c r="Z56" s="131"/>
      <c r="AA56" s="131"/>
      <c r="AB56" s="28"/>
      <c r="AC56" s="17" t="str">
        <f t="shared" si="9"/>
        <v>SI</v>
      </c>
      <c r="AD56" s="133"/>
      <c r="AE56" s="115" t="s">
        <v>271</v>
      </c>
      <c r="AF56" s="114" t="s">
        <v>272</v>
      </c>
      <c r="AG56" s="17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</row>
    <row r="57" spans="1:181" s="43" customFormat="1">
      <c r="A57" s="28" t="s">
        <v>134</v>
      </c>
      <c r="B57" s="28" t="s">
        <v>136</v>
      </c>
      <c r="C57" s="28"/>
      <c r="D57" s="100">
        <v>42598</v>
      </c>
      <c r="E57" s="28" t="s">
        <v>88</v>
      </c>
      <c r="F57" s="101">
        <v>2055.12</v>
      </c>
      <c r="G57" s="102"/>
      <c r="H57" s="102"/>
      <c r="I57" s="126">
        <v>45.13</v>
      </c>
      <c r="J57" s="127">
        <v>2009.9899999999998</v>
      </c>
      <c r="K57" s="102"/>
      <c r="L57" s="105"/>
      <c r="M57" s="103"/>
      <c r="N57" s="103"/>
      <c r="O57" s="103"/>
      <c r="P57" s="128"/>
      <c r="Q57" s="104">
        <v>0</v>
      </c>
      <c r="R57" s="127">
        <v>2009.9899999999998</v>
      </c>
      <c r="S57" s="103">
        <v>0</v>
      </c>
      <c r="T57" s="127">
        <v>2009.9899999999998</v>
      </c>
      <c r="U57" s="103">
        <v>200.999</v>
      </c>
      <c r="V57" s="103">
        <v>21.911999999999999</v>
      </c>
      <c r="W57" s="127">
        <v>2232.9009999999994</v>
      </c>
      <c r="X57" s="129"/>
      <c r="Y57" s="130"/>
      <c r="Z57" s="131"/>
      <c r="AA57" s="131"/>
      <c r="AB57" s="28"/>
      <c r="AC57" s="17" t="str">
        <f t="shared" si="9"/>
        <v>SI</v>
      </c>
      <c r="AD57" s="133"/>
      <c r="AE57" s="115" t="s">
        <v>273</v>
      </c>
      <c r="AF57" s="114" t="s">
        <v>274</v>
      </c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</row>
    <row r="58" spans="1:181" s="43" customFormat="1">
      <c r="A58" s="28" t="s">
        <v>134</v>
      </c>
      <c r="B58" s="28" t="s">
        <v>69</v>
      </c>
      <c r="C58" s="99"/>
      <c r="D58" s="100">
        <v>5</v>
      </c>
      <c r="E58" s="28" t="s">
        <v>60</v>
      </c>
      <c r="F58" s="101">
        <v>4516.8999999999996</v>
      </c>
      <c r="G58" s="102"/>
      <c r="H58" s="102"/>
      <c r="I58" s="126">
        <v>45.13</v>
      </c>
      <c r="J58" s="127">
        <v>4471.7699999999995</v>
      </c>
      <c r="K58" s="102"/>
      <c r="L58" s="105"/>
      <c r="M58" s="103"/>
      <c r="N58" s="103"/>
      <c r="O58" s="103"/>
      <c r="P58" s="104"/>
      <c r="Q58" s="104">
        <v>0</v>
      </c>
      <c r="R58" s="127">
        <v>4471.7699999999995</v>
      </c>
      <c r="S58" s="103">
        <v>0</v>
      </c>
      <c r="T58" s="127">
        <v>4471.7699999999995</v>
      </c>
      <c r="U58" s="103">
        <v>447.17699999999996</v>
      </c>
      <c r="V58" s="103">
        <v>21.911999999999999</v>
      </c>
      <c r="W58" s="127">
        <v>4940.8589999999995</v>
      </c>
      <c r="X58" s="129"/>
      <c r="Y58" s="130"/>
      <c r="Z58" s="131">
        <v>-4471.7699999999995</v>
      </c>
      <c r="AA58" s="140"/>
      <c r="AB58" s="28"/>
      <c r="AC58" s="17" t="str">
        <f t="shared" si="9"/>
        <v>SI</v>
      </c>
      <c r="AD58" s="133"/>
      <c r="AE58" s="115" t="s">
        <v>275</v>
      </c>
      <c r="AF58" s="114" t="s">
        <v>276</v>
      </c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</row>
    <row r="59" spans="1:181" s="43" customFormat="1">
      <c r="A59" s="28" t="s">
        <v>134</v>
      </c>
      <c r="B59" s="28" t="s">
        <v>70</v>
      </c>
      <c r="C59" s="99" t="s">
        <v>71</v>
      </c>
      <c r="D59" s="100">
        <v>41852</v>
      </c>
      <c r="E59" s="28" t="s">
        <v>54</v>
      </c>
      <c r="F59" s="101">
        <v>4245</v>
      </c>
      <c r="G59" s="102"/>
      <c r="H59" s="102"/>
      <c r="I59" s="126">
        <v>45.13</v>
      </c>
      <c r="J59" s="127">
        <v>4199.87</v>
      </c>
      <c r="K59" s="102">
        <v>887.98</v>
      </c>
      <c r="L59" s="105"/>
      <c r="M59" s="103"/>
      <c r="N59" s="103"/>
      <c r="O59" s="103"/>
      <c r="P59" s="128"/>
      <c r="Q59" s="104">
        <v>0</v>
      </c>
      <c r="R59" s="127">
        <v>3311.89</v>
      </c>
      <c r="S59" s="103">
        <v>0</v>
      </c>
      <c r="T59" s="127">
        <v>3311.89</v>
      </c>
      <c r="U59" s="103">
        <v>419.98700000000002</v>
      </c>
      <c r="V59" s="103">
        <v>21.911999999999999</v>
      </c>
      <c r="W59" s="127">
        <v>4641.7690000000002</v>
      </c>
      <c r="X59" s="129"/>
      <c r="Y59" s="130"/>
      <c r="Z59" s="131">
        <v>-3311.89</v>
      </c>
      <c r="AA59" s="141"/>
      <c r="AB59" s="135" t="s">
        <v>150</v>
      </c>
      <c r="AC59" s="17" t="str">
        <f t="shared" si="9"/>
        <v>SI</v>
      </c>
      <c r="AD59" s="133"/>
      <c r="AE59" s="115" t="s">
        <v>277</v>
      </c>
      <c r="AF59" s="114" t="s">
        <v>278</v>
      </c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</row>
    <row r="60" spans="1:181" s="43" customFormat="1">
      <c r="A60" s="28" t="s">
        <v>134</v>
      </c>
      <c r="B60" s="28" t="s">
        <v>86</v>
      </c>
      <c r="C60" s="99" t="s">
        <v>87</v>
      </c>
      <c r="D60" s="100">
        <v>40122</v>
      </c>
      <c r="E60" s="28" t="s">
        <v>88</v>
      </c>
      <c r="F60" s="101">
        <v>302.12</v>
      </c>
      <c r="G60" s="102"/>
      <c r="H60" s="102"/>
      <c r="I60" s="126">
        <v>45.13</v>
      </c>
      <c r="J60" s="127">
        <v>256.99</v>
      </c>
      <c r="K60" s="102"/>
      <c r="L60" s="105"/>
      <c r="M60" s="103"/>
      <c r="N60" s="103"/>
      <c r="O60" s="103"/>
      <c r="P60" s="128"/>
      <c r="Q60" s="104">
        <v>0</v>
      </c>
      <c r="R60" s="127">
        <v>256.99</v>
      </c>
      <c r="S60" s="103">
        <v>0</v>
      </c>
      <c r="T60" s="127">
        <v>256.99</v>
      </c>
      <c r="U60" s="103">
        <v>25.699000000000002</v>
      </c>
      <c r="V60" s="103">
        <v>21.911999999999999</v>
      </c>
      <c r="W60" s="127">
        <v>304.601</v>
      </c>
      <c r="X60" s="129"/>
      <c r="Y60" s="130"/>
      <c r="Z60" s="131">
        <v>-256.99</v>
      </c>
      <c r="AA60" s="131"/>
      <c r="AB60" s="28"/>
      <c r="AC60" s="17" t="str">
        <f t="shared" si="9"/>
        <v>SI</v>
      </c>
      <c r="AD60" s="133"/>
      <c r="AE60" s="115" t="s">
        <v>279</v>
      </c>
      <c r="AF60" s="114" t="s">
        <v>280</v>
      </c>
      <c r="AG60" s="133"/>
      <c r="AH60" s="17"/>
      <c r="AI60" s="17"/>
      <c r="AJ60" s="17"/>
      <c r="AK60" s="133"/>
      <c r="AL60" s="133"/>
      <c r="AM60" s="133"/>
      <c r="AN60" s="133"/>
      <c r="AO60" s="133"/>
      <c r="AP60" s="133"/>
      <c r="AQ60" s="133"/>
      <c r="AR60" s="133"/>
      <c r="AS60" s="133"/>
    </row>
    <row r="61" spans="1:181" s="43" customFormat="1">
      <c r="A61" s="28" t="s">
        <v>55</v>
      </c>
      <c r="B61" s="28" t="s">
        <v>301</v>
      </c>
      <c r="C61" s="99"/>
      <c r="D61" s="100">
        <v>39516</v>
      </c>
      <c r="E61" s="28" t="s">
        <v>80</v>
      </c>
      <c r="F61" s="101">
        <v>10874.44</v>
      </c>
      <c r="G61" s="102"/>
      <c r="H61" s="102">
        <v>2005.2</v>
      </c>
      <c r="I61" s="126"/>
      <c r="J61" s="127">
        <f>SUM(F61:H61)-I61</f>
        <v>12879.640000000001</v>
      </c>
      <c r="K61" s="102"/>
      <c r="L61" s="103"/>
      <c r="M61" s="103"/>
      <c r="N61" s="103"/>
      <c r="O61" s="103"/>
      <c r="P61" s="102"/>
      <c r="Q61" s="102">
        <v>4000</v>
      </c>
      <c r="R61" s="127">
        <f>+J61-K61</f>
        <v>12879.640000000001</v>
      </c>
      <c r="S61" s="103">
        <f>+R61*0.05</f>
        <v>643.98200000000008</v>
      </c>
      <c r="T61" s="127">
        <f>+R61-N61-Q61</f>
        <v>8879.6400000000012</v>
      </c>
      <c r="U61" s="103">
        <f>IF(R61&lt;3000,R61*0.1,0)</f>
        <v>0</v>
      </c>
      <c r="V61" s="103">
        <v>0</v>
      </c>
      <c r="W61" s="127">
        <f>+R61+U61+V61</f>
        <v>12879.640000000001</v>
      </c>
      <c r="X61" s="136"/>
      <c r="Y61" s="136"/>
      <c r="Z61" s="28"/>
      <c r="AA61" s="28"/>
      <c r="AB61" s="135" t="s">
        <v>159</v>
      </c>
      <c r="AC61" s="17" t="str">
        <f t="shared" si="9"/>
        <v>SI</v>
      </c>
      <c r="AD61" s="17"/>
      <c r="AE61" s="115" t="s">
        <v>281</v>
      </c>
      <c r="AF61" s="114" t="s">
        <v>282</v>
      </c>
      <c r="AG61" s="133"/>
      <c r="AH61" s="133"/>
      <c r="AI61" s="133"/>
      <c r="AJ61" s="133"/>
      <c r="AK61" s="17"/>
      <c r="AL61" s="17"/>
      <c r="AM61" s="17"/>
      <c r="AN61" s="17"/>
      <c r="AO61" s="17"/>
      <c r="AP61" s="17"/>
      <c r="AQ61" s="17"/>
      <c r="AR61" s="17"/>
      <c r="AS61" s="17"/>
    </row>
    <row r="62" spans="1:181" s="43" customFormat="1">
      <c r="A62" s="28" t="s">
        <v>134</v>
      </c>
      <c r="B62" s="28" t="s">
        <v>131</v>
      </c>
      <c r="C62" s="28">
        <v>33</v>
      </c>
      <c r="D62" s="100">
        <v>39833</v>
      </c>
      <c r="E62" s="28" t="s">
        <v>92</v>
      </c>
      <c r="F62" s="101">
        <v>4989.6000000000004</v>
      </c>
      <c r="G62" s="102"/>
      <c r="H62" s="102"/>
      <c r="I62" s="126">
        <v>45.13</v>
      </c>
      <c r="J62" s="127">
        <v>4944.47</v>
      </c>
      <c r="K62" s="102"/>
      <c r="L62" s="105"/>
      <c r="M62" s="103"/>
      <c r="N62" s="103"/>
      <c r="O62" s="103"/>
      <c r="P62" s="128"/>
      <c r="Q62" s="104">
        <v>0</v>
      </c>
      <c r="R62" s="127">
        <v>4944.47</v>
      </c>
      <c r="S62" s="103">
        <v>494.44700000000006</v>
      </c>
      <c r="T62" s="127">
        <v>4450.0230000000001</v>
      </c>
      <c r="U62" s="103">
        <v>0</v>
      </c>
      <c r="V62" s="103">
        <v>21.911999999999999</v>
      </c>
      <c r="W62" s="127">
        <v>4966.3820000000005</v>
      </c>
      <c r="X62" s="129"/>
      <c r="Y62" s="130"/>
      <c r="Z62" s="131">
        <v>-4450.0230000000001</v>
      </c>
      <c r="AA62" s="131"/>
      <c r="AB62" s="28"/>
      <c r="AC62" s="17" t="str">
        <f t="shared" si="9"/>
        <v>SI</v>
      </c>
      <c r="AD62" s="133"/>
      <c r="AE62" s="115" t="s">
        <v>283</v>
      </c>
      <c r="AF62" s="114" t="s">
        <v>284</v>
      </c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</row>
    <row r="63" spans="1:181" s="43" customFormat="1">
      <c r="A63" s="28" t="s">
        <v>134</v>
      </c>
      <c r="B63" s="28" t="s">
        <v>94</v>
      </c>
      <c r="C63" s="99"/>
      <c r="D63" s="100">
        <v>42429</v>
      </c>
      <c r="E63" s="28" t="s">
        <v>60</v>
      </c>
      <c r="F63" s="101">
        <v>4543.42</v>
      </c>
      <c r="G63" s="102"/>
      <c r="H63" s="102"/>
      <c r="I63" s="126">
        <v>45.13</v>
      </c>
      <c r="J63" s="127">
        <v>4498.29</v>
      </c>
      <c r="K63" s="102"/>
      <c r="L63" s="105"/>
      <c r="M63" s="103"/>
      <c r="N63" s="103"/>
      <c r="O63" s="103"/>
      <c r="P63" s="104"/>
      <c r="Q63" s="104">
        <v>0</v>
      </c>
      <c r="R63" s="127">
        <v>4498.29</v>
      </c>
      <c r="S63" s="103">
        <v>0</v>
      </c>
      <c r="T63" s="127">
        <v>4498.29</v>
      </c>
      <c r="U63" s="103">
        <v>449.82900000000001</v>
      </c>
      <c r="V63" s="103">
        <v>21.911999999999999</v>
      </c>
      <c r="W63" s="127">
        <v>4970.0309999999999</v>
      </c>
      <c r="X63" s="129"/>
      <c r="Y63" s="130"/>
      <c r="Z63" s="131">
        <v>-4498.29</v>
      </c>
      <c r="AA63" s="131"/>
      <c r="AB63" s="28"/>
      <c r="AC63" s="17" t="str">
        <f t="shared" si="9"/>
        <v>SI</v>
      </c>
      <c r="AD63" s="133"/>
      <c r="AE63" s="115" t="s">
        <v>285</v>
      </c>
      <c r="AF63" s="114" t="s">
        <v>286</v>
      </c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</row>
    <row r="64" spans="1:181" s="43" customFormat="1">
      <c r="A64" s="28" t="s">
        <v>42</v>
      </c>
      <c r="B64" s="28" t="s">
        <v>302</v>
      </c>
      <c r="C64" s="99" t="s">
        <v>98</v>
      </c>
      <c r="D64" s="100">
        <v>40298</v>
      </c>
      <c r="E64" s="28" t="s">
        <v>143</v>
      </c>
      <c r="F64" s="101">
        <v>11763.56</v>
      </c>
      <c r="G64" s="102"/>
      <c r="H64" s="102"/>
      <c r="I64" s="126">
        <v>45.13</v>
      </c>
      <c r="J64" s="127">
        <v>11718.43</v>
      </c>
      <c r="K64" s="102"/>
      <c r="L64" s="105"/>
      <c r="M64" s="103"/>
      <c r="N64" s="103"/>
      <c r="O64" s="103"/>
      <c r="P64" s="128"/>
      <c r="Q64" s="104">
        <v>410</v>
      </c>
      <c r="R64" s="127">
        <v>11308.43</v>
      </c>
      <c r="S64" s="103">
        <v>1171.8430000000001</v>
      </c>
      <c r="T64" s="127">
        <v>10136.587</v>
      </c>
      <c r="U64" s="103">
        <v>0</v>
      </c>
      <c r="V64" s="103">
        <v>21.911999999999999</v>
      </c>
      <c r="W64" s="127">
        <v>11740.342000000001</v>
      </c>
      <c r="X64" s="129"/>
      <c r="Y64" s="130"/>
      <c r="Z64" s="131">
        <v>-10136.587</v>
      </c>
      <c r="AA64" s="131"/>
      <c r="AB64" s="137"/>
      <c r="AC64" s="17" t="str">
        <f t="shared" si="9"/>
        <v>SI</v>
      </c>
      <c r="AD64" s="133"/>
      <c r="AE64" s="115" t="s">
        <v>287</v>
      </c>
      <c r="AF64" s="114" t="s">
        <v>288</v>
      </c>
      <c r="AG64" s="16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</row>
    <row r="65" spans="1:181" s="43" customFormat="1">
      <c r="A65" s="28" t="s">
        <v>134</v>
      </c>
      <c r="B65" s="28" t="s">
        <v>147</v>
      </c>
      <c r="C65" s="28"/>
      <c r="D65" s="100">
        <v>42632</v>
      </c>
      <c r="E65" s="28" t="s">
        <v>60</v>
      </c>
      <c r="F65" s="101">
        <v>3955.9</v>
      </c>
      <c r="G65" s="102"/>
      <c r="H65" s="102"/>
      <c r="I65" s="126">
        <v>45.13</v>
      </c>
      <c r="J65" s="127">
        <v>3910.77</v>
      </c>
      <c r="K65" s="102"/>
      <c r="L65" s="138"/>
      <c r="M65" s="103"/>
      <c r="N65" s="103"/>
      <c r="O65" s="103"/>
      <c r="P65" s="128"/>
      <c r="Q65" s="104">
        <v>0</v>
      </c>
      <c r="R65" s="127">
        <v>3910.77</v>
      </c>
      <c r="S65" s="103">
        <v>0</v>
      </c>
      <c r="T65" s="127">
        <v>3910.77</v>
      </c>
      <c r="U65" s="103"/>
      <c r="V65" s="103"/>
      <c r="W65" s="127"/>
      <c r="X65" s="129"/>
      <c r="Y65" s="134"/>
      <c r="Z65" s="131"/>
      <c r="AA65" s="139">
        <v>2643837181</v>
      </c>
      <c r="AB65" s="28"/>
      <c r="AC65" s="17" t="str">
        <f t="shared" si="9"/>
        <v>SI</v>
      </c>
      <c r="AD65" s="133"/>
      <c r="AE65" s="115" t="s">
        <v>289</v>
      </c>
      <c r="AF65" s="114" t="s">
        <v>290</v>
      </c>
      <c r="AG65" s="16"/>
      <c r="AH65" s="133"/>
      <c r="AI65" s="133"/>
      <c r="AJ65" s="133"/>
      <c r="AN65" s="133"/>
      <c r="AO65" s="133"/>
      <c r="AP65" s="133"/>
      <c r="AQ65" s="133"/>
      <c r="AR65" s="133"/>
      <c r="AS65" s="133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59"/>
      <c r="DQ65" s="59"/>
      <c r="DR65" s="59"/>
      <c r="DS65" s="59"/>
      <c r="DT65" s="59"/>
      <c r="DU65" s="59"/>
      <c r="DV65" s="59"/>
      <c r="DW65" s="59"/>
      <c r="DX65" s="59"/>
      <c r="DY65" s="59"/>
      <c r="DZ65" s="59"/>
      <c r="EA65" s="59"/>
      <c r="EB65" s="59"/>
      <c r="EC65" s="59"/>
      <c r="ED65" s="59"/>
      <c r="EE65" s="59"/>
      <c r="EF65" s="59"/>
      <c r="EG65" s="59"/>
      <c r="EH65" s="59"/>
      <c r="EI65" s="59"/>
      <c r="EJ65" s="59"/>
      <c r="EK65" s="59"/>
      <c r="EL65" s="59"/>
      <c r="EM65" s="59"/>
      <c r="EN65" s="59"/>
      <c r="EO65" s="59"/>
      <c r="EP65" s="59"/>
      <c r="EQ65" s="59"/>
      <c r="ER65" s="59"/>
      <c r="ES65" s="59"/>
      <c r="ET65" s="59"/>
      <c r="EU65" s="59"/>
      <c r="EV65" s="59"/>
      <c r="EW65" s="59"/>
      <c r="EX65" s="59"/>
      <c r="EY65" s="59"/>
      <c r="EZ65" s="59"/>
      <c r="FA65" s="59"/>
      <c r="FB65" s="59"/>
      <c r="FC65" s="59"/>
      <c r="FD65" s="59"/>
      <c r="FE65" s="59"/>
      <c r="FF65" s="59"/>
      <c r="FG65" s="59"/>
      <c r="FH65" s="59"/>
      <c r="FI65" s="59"/>
      <c r="FJ65" s="59"/>
      <c r="FK65" s="59"/>
      <c r="FL65" s="59"/>
      <c r="FM65" s="59"/>
      <c r="FN65" s="59"/>
      <c r="FO65" s="59"/>
      <c r="FP65" s="59"/>
      <c r="FQ65" s="59"/>
      <c r="FR65" s="59"/>
      <c r="FS65" s="59"/>
      <c r="FT65" s="59"/>
      <c r="FU65" s="59"/>
      <c r="FV65" s="59"/>
      <c r="FW65" s="59"/>
      <c r="FX65" s="59"/>
      <c r="FY65" s="59"/>
    </row>
    <row r="66" spans="1:181" s="60" customFormat="1">
      <c r="A66" s="28" t="s">
        <v>134</v>
      </c>
      <c r="B66" s="28" t="s">
        <v>108</v>
      </c>
      <c r="C66" s="99" t="s">
        <v>109</v>
      </c>
      <c r="D66" s="100">
        <v>41939</v>
      </c>
      <c r="E66" s="28" t="s">
        <v>54</v>
      </c>
      <c r="F66" s="101">
        <v>2002.6</v>
      </c>
      <c r="G66" s="102"/>
      <c r="H66" s="102"/>
      <c r="I66" s="126">
        <v>45.13</v>
      </c>
      <c r="J66" s="127">
        <v>1957.4699999999998</v>
      </c>
      <c r="K66" s="102"/>
      <c r="L66" s="138"/>
      <c r="M66" s="103"/>
      <c r="N66" s="103"/>
      <c r="O66" s="103"/>
      <c r="P66" s="128"/>
      <c r="Q66" s="104">
        <v>300</v>
      </c>
      <c r="R66" s="127">
        <v>1657.4699999999998</v>
      </c>
      <c r="S66" s="103">
        <v>0</v>
      </c>
      <c r="T66" s="127">
        <v>1657.4699999999998</v>
      </c>
      <c r="U66" s="103">
        <v>195.74699999999999</v>
      </c>
      <c r="V66" s="103">
        <v>21.911999999999999</v>
      </c>
      <c r="W66" s="127">
        <v>2175.1289999999995</v>
      </c>
      <c r="X66" s="129"/>
      <c r="Y66" s="130"/>
      <c r="Z66" s="131">
        <v>-1657.4699999999998</v>
      </c>
      <c r="AA66" s="131"/>
      <c r="AB66" s="28"/>
      <c r="AC66" s="17" t="str">
        <f t="shared" si="9"/>
        <v>SI</v>
      </c>
      <c r="AD66" s="133"/>
      <c r="AE66" s="115" t="s">
        <v>291</v>
      </c>
      <c r="AF66" s="114" t="s">
        <v>292</v>
      </c>
      <c r="AG66" s="16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</row>
    <row r="67" spans="1:181" s="43" customFormat="1">
      <c r="A67" s="16" t="s">
        <v>112</v>
      </c>
      <c r="B67" s="13"/>
      <c r="C67" s="16"/>
      <c r="D67" s="16"/>
      <c r="E67" s="16"/>
      <c r="F67" s="88"/>
      <c r="G67" s="13"/>
      <c r="H67" s="13"/>
      <c r="I67" s="13"/>
      <c r="J67" s="14"/>
      <c r="K67" s="13"/>
      <c r="L67" s="78"/>
      <c r="M67" s="13"/>
      <c r="N67" s="13"/>
      <c r="O67" s="13"/>
      <c r="P67" s="13"/>
      <c r="Q67" s="13"/>
      <c r="R67" s="14"/>
      <c r="S67" s="13"/>
      <c r="T67" s="14"/>
      <c r="U67" s="13"/>
      <c r="V67" s="13"/>
      <c r="W67" s="14"/>
      <c r="X67" s="15"/>
      <c r="Y67" s="15"/>
      <c r="Z67" s="16"/>
      <c r="AA67" s="16"/>
      <c r="AB67" s="16"/>
      <c r="AC67" s="16"/>
      <c r="AD67" s="133"/>
      <c r="AE67" s="124" t="s">
        <v>264</v>
      </c>
      <c r="AF67" s="118"/>
      <c r="AG67" s="16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</row>
    <row r="68" spans="1:181">
      <c r="A68" s="16" t="s">
        <v>113</v>
      </c>
      <c r="B68" s="13"/>
      <c r="AD68" s="133"/>
    </row>
    <row r="70" spans="1:181">
      <c r="AE70" s="123"/>
      <c r="AF70" s="118"/>
    </row>
    <row r="71" spans="1:181">
      <c r="G71" s="16"/>
      <c r="H71" s="16"/>
      <c r="I71" s="16"/>
      <c r="J71" s="16"/>
      <c r="K71" s="16"/>
      <c r="L71" s="84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AE71" s="124" t="s">
        <v>294</v>
      </c>
      <c r="AF71" s="114" t="s">
        <v>161</v>
      </c>
    </row>
    <row r="72" spans="1:181">
      <c r="G72" s="16"/>
      <c r="H72" s="16"/>
      <c r="I72" s="16"/>
      <c r="J72" s="16"/>
      <c r="K72" s="16"/>
      <c r="L72" s="84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181">
      <c r="G73" s="16"/>
      <c r="H73" s="16"/>
      <c r="I73" s="16"/>
      <c r="J73" s="16"/>
      <c r="K73" s="16"/>
      <c r="L73" s="84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181">
      <c r="G74" s="16"/>
      <c r="H74" s="16"/>
      <c r="I74" s="16"/>
      <c r="J74" s="16"/>
      <c r="K74" s="16"/>
      <c r="L74" s="84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AE74" s="115" t="s">
        <v>161</v>
      </c>
      <c r="AF74" s="114" t="s">
        <v>161</v>
      </c>
    </row>
    <row r="75" spans="1:181">
      <c r="G75" s="16"/>
      <c r="H75" s="16"/>
      <c r="I75" s="16"/>
      <c r="J75" s="16"/>
      <c r="K75" s="16"/>
      <c r="L75" s="84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181">
      <c r="G76" s="16"/>
      <c r="H76" s="16"/>
      <c r="I76" s="16"/>
      <c r="J76" s="16"/>
      <c r="K76" s="16"/>
      <c r="L76" s="84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181">
      <c r="G77" s="16"/>
      <c r="H77" s="16"/>
      <c r="I77" s="16"/>
      <c r="J77" s="16"/>
      <c r="K77" s="16"/>
      <c r="L77" s="84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181">
      <c r="G78" s="16"/>
      <c r="H78" s="16"/>
      <c r="I78" s="16"/>
      <c r="J78" s="16"/>
      <c r="K78" s="16"/>
      <c r="L78" s="84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181">
      <c r="G79" s="16"/>
      <c r="H79" s="16"/>
      <c r="I79" s="16"/>
      <c r="J79" s="16"/>
      <c r="K79" s="16"/>
      <c r="L79" s="84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181">
      <c r="G80" s="16"/>
      <c r="H80" s="16"/>
      <c r="I80" s="16"/>
      <c r="J80" s="16"/>
      <c r="K80" s="16"/>
      <c r="L80" s="84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7:25">
      <c r="G81" s="16"/>
      <c r="H81" s="16"/>
      <c r="I81" s="16"/>
      <c r="J81" s="16"/>
      <c r="K81" s="16"/>
      <c r="L81" s="84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7:25">
      <c r="G82" s="16"/>
      <c r="H82" s="16"/>
      <c r="I82" s="16"/>
      <c r="J82" s="16"/>
      <c r="K82" s="16"/>
      <c r="L82" s="84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7:25">
      <c r="G83" s="16"/>
      <c r="H83" s="16"/>
      <c r="I83" s="16"/>
      <c r="J83" s="16"/>
      <c r="K83" s="16"/>
      <c r="L83" s="84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7:25">
      <c r="G84" s="16"/>
      <c r="H84" s="16"/>
      <c r="I84" s="16"/>
      <c r="J84" s="16"/>
      <c r="K84" s="16"/>
      <c r="L84" s="84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7:25">
      <c r="G85" s="16"/>
      <c r="H85" s="16"/>
      <c r="I85" s="16"/>
      <c r="J85" s="16"/>
      <c r="K85" s="16"/>
      <c r="L85" s="84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7:25">
      <c r="G86" s="16"/>
      <c r="H86" s="16"/>
      <c r="I86" s="16"/>
      <c r="J86" s="16"/>
      <c r="K86" s="16"/>
      <c r="L86" s="84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7:25">
      <c r="G87" s="16"/>
      <c r="H87" s="16"/>
      <c r="I87" s="16"/>
      <c r="J87" s="16"/>
      <c r="K87" s="16"/>
      <c r="L87" s="84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7:25">
      <c r="G88" s="16"/>
      <c r="H88" s="16"/>
      <c r="I88" s="16"/>
      <c r="J88" s="16"/>
      <c r="K88" s="16"/>
      <c r="L88" s="84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7:25">
      <c r="G89" s="16"/>
      <c r="H89" s="16"/>
      <c r="I89" s="16"/>
      <c r="J89" s="16"/>
      <c r="K89" s="16"/>
      <c r="L89" s="84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7:25">
      <c r="G90" s="16"/>
      <c r="H90" s="16"/>
      <c r="I90" s="16"/>
      <c r="J90" s="16"/>
      <c r="K90" s="16"/>
      <c r="L90" s="84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7:25">
      <c r="G91" s="16"/>
      <c r="H91" s="16"/>
      <c r="I91" s="16"/>
      <c r="J91" s="16"/>
      <c r="K91" s="16"/>
      <c r="L91" s="84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7:25">
      <c r="G92" s="16"/>
      <c r="H92" s="16"/>
      <c r="I92" s="16"/>
      <c r="J92" s="16"/>
      <c r="K92" s="16"/>
      <c r="L92" s="84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7:25">
      <c r="G93" s="16"/>
      <c r="H93" s="16"/>
      <c r="I93" s="16"/>
      <c r="J93" s="16"/>
      <c r="K93" s="16"/>
      <c r="L93" s="84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7:25">
      <c r="G94" s="16"/>
      <c r="H94" s="16"/>
      <c r="I94" s="16"/>
      <c r="J94" s="16"/>
      <c r="K94" s="16"/>
      <c r="L94" s="84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7:25">
      <c r="G95" s="16"/>
      <c r="H95" s="16"/>
      <c r="I95" s="16"/>
      <c r="J95" s="16"/>
      <c r="K95" s="16"/>
      <c r="L95" s="84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7:25">
      <c r="G96" s="16"/>
      <c r="H96" s="16"/>
      <c r="I96" s="16"/>
      <c r="J96" s="16"/>
      <c r="K96" s="16"/>
      <c r="L96" s="84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84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84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84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84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84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84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84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84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8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84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84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84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84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84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84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84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84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84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84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84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84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84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84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84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84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84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84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84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84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84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84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84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84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84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84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84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84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84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84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84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84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84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84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84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84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84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84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84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84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84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84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84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84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84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84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84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84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84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84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84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84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84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84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84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84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84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84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84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84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84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84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84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84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84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84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84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84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84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84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84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84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84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84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84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84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84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84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84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84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84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84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84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84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84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84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84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84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84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84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84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84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84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84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84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84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84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84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84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84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84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84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84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84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84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84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84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84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84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84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84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84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84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84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84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84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84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84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84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84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84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84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84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84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84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84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84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84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84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84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84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84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84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84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84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84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84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84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84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84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84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84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84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84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84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84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84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84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84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84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84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84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84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84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84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84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84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84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84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84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84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84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84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84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84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84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84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84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84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84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84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84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84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84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84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84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84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84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84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84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</sheetData>
  <autoFilter ref="A5:AB49">
    <filterColumn colId="23" showButton="0"/>
    <sortState ref="A8:AB59">
      <sortCondition ref="B5:B59"/>
    </sortState>
  </autoFilter>
  <mergeCells count="23">
    <mergeCell ref="A53:B53"/>
    <mergeCell ref="P5:P6"/>
    <mergeCell ref="Q5:Q6"/>
    <mergeCell ref="R5:R6"/>
    <mergeCell ref="S5:S6"/>
    <mergeCell ref="I5:I6"/>
    <mergeCell ref="J5:J6"/>
    <mergeCell ref="K5:K6"/>
    <mergeCell ref="M5:M6"/>
    <mergeCell ref="N5:N6"/>
    <mergeCell ref="O5:O6"/>
    <mergeCell ref="H5:H6"/>
    <mergeCell ref="A5:A6"/>
    <mergeCell ref="B5:B6"/>
    <mergeCell ref="C5:C6"/>
    <mergeCell ref="E5:E6"/>
    <mergeCell ref="G5:G6"/>
    <mergeCell ref="V5:V6"/>
    <mergeCell ref="W5:W6"/>
    <mergeCell ref="X5:Y5"/>
    <mergeCell ref="Z5:Z6"/>
    <mergeCell ref="T5:T6"/>
    <mergeCell ref="U5:U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2"/>
  <sheetViews>
    <sheetView workbookViewId="0"/>
  </sheetViews>
  <sheetFormatPr baseColWidth="10" defaultRowHeight="15"/>
  <cols>
    <col min="1" max="1" width="24.5703125" style="143" bestFit="1" customWidth="1"/>
    <col min="2" max="2" width="11.5703125" style="143" bestFit="1" customWidth="1"/>
    <col min="3" max="16384" width="11.42578125" style="143"/>
  </cols>
  <sheetData>
    <row r="1" spans="1:5">
      <c r="A1" s="219" t="s">
        <v>322</v>
      </c>
      <c r="B1" s="219"/>
      <c r="C1" s="220"/>
      <c r="D1" s="221"/>
      <c r="E1" s="221"/>
    </row>
    <row r="2" spans="1:5">
      <c r="A2" s="219" t="s">
        <v>323</v>
      </c>
      <c r="B2" s="219"/>
      <c r="C2" s="220"/>
      <c r="D2" s="221"/>
      <c r="E2" s="221"/>
    </row>
    <row r="3" spans="1:5">
      <c r="A3" s="219" t="s">
        <v>334</v>
      </c>
      <c r="B3" s="222" t="s">
        <v>149</v>
      </c>
      <c r="C3" s="220"/>
      <c r="D3" s="221"/>
      <c r="E3" s="221"/>
    </row>
    <row r="4" spans="1:5">
      <c r="A4" s="220"/>
      <c r="B4" s="220"/>
      <c r="C4" s="220"/>
      <c r="D4" s="221"/>
      <c r="E4" s="221"/>
    </row>
    <row r="5" spans="1:5">
      <c r="A5" s="220" t="s">
        <v>324</v>
      </c>
      <c r="B5" s="220" t="s">
        <v>325</v>
      </c>
      <c r="C5" s="220"/>
      <c r="D5" s="221"/>
      <c r="E5" s="221"/>
    </row>
    <row r="6" spans="1:5">
      <c r="A6" s="221" t="s">
        <v>326</v>
      </c>
      <c r="B6" s="223">
        <f>76570.48+16019.51</f>
        <v>92589.989999999991</v>
      </c>
      <c r="C6" s="221"/>
      <c r="D6" s="221"/>
      <c r="E6" s="221"/>
    </row>
    <row r="7" spans="1:5">
      <c r="A7" s="221" t="s">
        <v>327</v>
      </c>
      <c r="B7" s="223">
        <v>5384.85</v>
      </c>
      <c r="C7" s="221"/>
      <c r="D7" s="221"/>
      <c r="E7" s="221"/>
    </row>
    <row r="8" spans="1:5">
      <c r="A8" s="221" t="s">
        <v>328</v>
      </c>
      <c r="B8" s="223">
        <v>12228.49</v>
      </c>
      <c r="C8" s="221"/>
      <c r="D8" s="221"/>
      <c r="E8" s="221"/>
    </row>
    <row r="9" spans="1:5">
      <c r="A9" s="221" t="s">
        <v>329</v>
      </c>
      <c r="B9" s="223">
        <v>61420.29</v>
      </c>
      <c r="C9" s="221"/>
      <c r="D9" s="221"/>
      <c r="E9" s="221"/>
    </row>
    <row r="10" spans="1:5">
      <c r="A10" s="221" t="s">
        <v>330</v>
      </c>
      <c r="B10" s="223">
        <v>12470.86</v>
      </c>
      <c r="C10" s="221"/>
      <c r="D10" s="224"/>
      <c r="E10" s="221"/>
    </row>
    <row r="11" spans="1:5">
      <c r="A11" s="221" t="s">
        <v>331</v>
      </c>
      <c r="B11" s="223">
        <f>39218.34+16929.41</f>
        <v>56147.75</v>
      </c>
      <c r="C11" s="221"/>
      <c r="D11" s="221"/>
      <c r="E11" s="221"/>
    </row>
    <row r="12" spans="1:5">
      <c r="A12" s="221" t="s">
        <v>332</v>
      </c>
      <c r="B12" s="225">
        <v>0</v>
      </c>
      <c r="C12" s="221"/>
      <c r="D12" s="221"/>
      <c r="E12" s="221"/>
    </row>
    <row r="13" spans="1:5" ht="15.75" thickBot="1">
      <c r="A13" s="221" t="s">
        <v>333</v>
      </c>
      <c r="B13" s="226">
        <v>46305.919999999998</v>
      </c>
      <c r="C13" s="221"/>
      <c r="D13" s="221"/>
      <c r="E13" s="221"/>
    </row>
    <row r="14" spans="1:5">
      <c r="A14" s="221"/>
      <c r="B14" s="227">
        <f>SUM(B6:B13)</f>
        <v>286548.14999999997</v>
      </c>
      <c r="C14" s="221"/>
      <c r="D14" s="221"/>
      <c r="E14" s="221"/>
    </row>
    <row r="15" spans="1:5" ht="15.75" thickBot="1">
      <c r="A15" s="221"/>
      <c r="B15" s="228">
        <f>B14*0.16</f>
        <v>45847.703999999998</v>
      </c>
      <c r="C15" s="221"/>
      <c r="D15" s="221"/>
      <c r="E15" s="221"/>
    </row>
    <row r="16" spans="1:5" ht="15.75" thickTop="1">
      <c r="A16" s="221"/>
      <c r="B16" s="229">
        <f>+B14+B15</f>
        <v>332395.85399999993</v>
      </c>
      <c r="C16" s="221"/>
      <c r="D16" s="221"/>
      <c r="E16" s="221"/>
    </row>
    <row r="17" spans="1:5">
      <c r="A17" s="221"/>
      <c r="B17" s="223">
        <v>332395.87</v>
      </c>
      <c r="C17" s="221"/>
      <c r="D17" s="221"/>
      <c r="E17" s="221"/>
    </row>
    <row r="18" spans="1:5">
      <c r="A18" s="221"/>
      <c r="B18" s="223">
        <f>B16-B17</f>
        <v>-1.600000006146729E-2</v>
      </c>
      <c r="C18" s="221"/>
      <c r="D18" s="221"/>
      <c r="E18" s="221"/>
    </row>
    <row r="19" spans="1:5">
      <c r="A19" s="221"/>
      <c r="B19" s="223"/>
      <c r="C19" s="221"/>
      <c r="D19" s="221"/>
      <c r="E19" s="221"/>
    </row>
    <row r="20" spans="1:5">
      <c r="A20" s="221"/>
      <c r="B20" s="221"/>
      <c r="C20" s="221"/>
      <c r="D20" s="221"/>
      <c r="E20" s="221"/>
    </row>
    <row r="23" spans="1:5">
      <c r="A23" s="219" t="s">
        <v>322</v>
      </c>
      <c r="B23" s="219"/>
      <c r="C23" s="220"/>
      <c r="D23" s="221"/>
      <c r="E23" s="221"/>
    </row>
    <row r="24" spans="1:5">
      <c r="A24" s="219" t="s">
        <v>323</v>
      </c>
      <c r="B24" s="219"/>
      <c r="C24" s="220"/>
      <c r="D24" s="221"/>
      <c r="E24" s="221"/>
    </row>
    <row r="25" spans="1:5">
      <c r="A25" s="219" t="s">
        <v>334</v>
      </c>
      <c r="B25" s="222" t="s">
        <v>149</v>
      </c>
      <c r="C25" s="220"/>
      <c r="D25" s="221"/>
      <c r="E25" s="221"/>
    </row>
    <row r="26" spans="1:5">
      <c r="A26" s="220"/>
      <c r="B26" s="220"/>
      <c r="C26" s="220"/>
      <c r="D26" s="221"/>
      <c r="E26" s="221"/>
    </row>
    <row r="27" spans="1:5">
      <c r="A27" s="220" t="s">
        <v>324</v>
      </c>
      <c r="B27" s="220" t="s">
        <v>325</v>
      </c>
      <c r="C27" s="220"/>
      <c r="D27" s="221"/>
      <c r="E27" s="221"/>
    </row>
    <row r="28" spans="1:5">
      <c r="A28" s="221" t="s">
        <v>326</v>
      </c>
      <c r="B28" s="223">
        <v>254422.15</v>
      </c>
      <c r="C28" s="221"/>
      <c r="D28" s="221"/>
      <c r="E28" s="221"/>
    </row>
    <row r="29" spans="1:5">
      <c r="A29" s="221" t="s">
        <v>327</v>
      </c>
      <c r="B29" s="223">
        <v>14967</v>
      </c>
      <c r="C29" s="221"/>
      <c r="D29" s="221"/>
      <c r="E29" s="221"/>
    </row>
    <row r="30" spans="1:5">
      <c r="A30" s="221" t="s">
        <v>328</v>
      </c>
      <c r="B30" s="223">
        <v>41969.59</v>
      </c>
      <c r="C30" s="221"/>
      <c r="D30" s="221"/>
      <c r="E30" s="221"/>
    </row>
    <row r="31" spans="1:5">
      <c r="A31" s="221" t="s">
        <v>329</v>
      </c>
      <c r="B31" s="223">
        <v>54653.07</v>
      </c>
      <c r="C31" s="221"/>
      <c r="D31" s="221"/>
      <c r="E31" s="221"/>
    </row>
    <row r="32" spans="1:5">
      <c r="A32" s="221" t="s">
        <v>330</v>
      </c>
      <c r="B32" s="223">
        <v>23156.32</v>
      </c>
      <c r="C32" s="221"/>
      <c r="D32" s="224"/>
      <c r="E32" s="221"/>
    </row>
    <row r="33" spans="1:5">
      <c r="A33" s="221" t="s">
        <v>331</v>
      </c>
      <c r="B33" s="223">
        <v>40582.18</v>
      </c>
      <c r="C33" s="221"/>
      <c r="D33" s="221"/>
      <c r="E33" s="221"/>
    </row>
    <row r="34" spans="1:5">
      <c r="A34" s="221" t="s">
        <v>332</v>
      </c>
      <c r="B34" s="225">
        <v>0</v>
      </c>
      <c r="C34" s="221"/>
      <c r="D34" s="221"/>
      <c r="E34" s="221"/>
    </row>
    <row r="35" spans="1:5" ht="15.75" thickBot="1">
      <c r="A35" s="221" t="s">
        <v>333</v>
      </c>
      <c r="B35" s="226">
        <v>0</v>
      </c>
      <c r="C35" s="221"/>
      <c r="D35" s="221"/>
      <c r="E35" s="221"/>
    </row>
    <row r="36" spans="1:5">
      <c r="A36" s="221"/>
      <c r="B36" s="227">
        <f>SUM(B28:B35)</f>
        <v>429750.31</v>
      </c>
      <c r="C36" s="221"/>
      <c r="D36" s="221"/>
      <c r="E36" s="221"/>
    </row>
    <row r="37" spans="1:5" ht="15.75" thickBot="1">
      <c r="A37" s="221"/>
      <c r="B37" s="228">
        <f>B36*0.16</f>
        <v>68760.049599999998</v>
      </c>
      <c r="C37" s="221"/>
      <c r="D37" s="221"/>
      <c r="E37" s="221"/>
    </row>
    <row r="38" spans="1:5" ht="15.75" thickTop="1">
      <c r="A38" s="221"/>
      <c r="B38" s="229">
        <f>+B36+B37</f>
        <v>498510.35959999997</v>
      </c>
      <c r="C38" s="221"/>
      <c r="D38" s="221"/>
      <c r="E38" s="221"/>
    </row>
    <row r="39" spans="1:5">
      <c r="A39" s="221"/>
      <c r="B39" s="223">
        <v>498510.36</v>
      </c>
      <c r="C39" s="221"/>
      <c r="D39" s="221"/>
      <c r="E39" s="221"/>
    </row>
    <row r="40" spans="1:5">
      <c r="A40" s="221"/>
      <c r="B40" s="223">
        <f>B38-B39</f>
        <v>-4.0000001899898052E-4</v>
      </c>
      <c r="C40" s="221"/>
      <c r="D40" s="221"/>
      <c r="E40" s="221"/>
    </row>
    <row r="41" spans="1:5">
      <c r="A41" s="221"/>
      <c r="B41" s="223"/>
      <c r="C41" s="221"/>
      <c r="D41" s="221"/>
      <c r="E41" s="221"/>
    </row>
    <row r="42" spans="1:5">
      <c r="A42" s="221"/>
      <c r="B42" s="221"/>
      <c r="C42" s="221"/>
      <c r="D42" s="221"/>
      <c r="E42" s="22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8"/>
  <sheetViews>
    <sheetView tabSelected="1" workbookViewId="0">
      <pane ySplit="2" topLeftCell="A3" activePane="bottomLeft" state="frozen"/>
      <selection pane="bottomLeft" sqref="A1:A2"/>
    </sheetView>
  </sheetViews>
  <sheetFormatPr baseColWidth="10" defaultRowHeight="15"/>
  <cols>
    <col min="1" max="1" width="40.140625" bestFit="1" customWidth="1"/>
  </cols>
  <sheetData>
    <row r="1" spans="1:7">
      <c r="A1" s="244" t="s">
        <v>335</v>
      </c>
      <c r="B1" s="245" t="s">
        <v>336</v>
      </c>
      <c r="C1" s="245"/>
      <c r="D1" s="246" t="s">
        <v>316</v>
      </c>
      <c r="E1" s="245" t="s">
        <v>337</v>
      </c>
      <c r="F1" s="245"/>
      <c r="G1" s="246" t="s">
        <v>23</v>
      </c>
    </row>
    <row r="2" spans="1:7">
      <c r="A2" s="244"/>
      <c r="B2" s="247" t="s">
        <v>338</v>
      </c>
      <c r="C2" s="247" t="s">
        <v>30</v>
      </c>
      <c r="D2" s="246"/>
      <c r="E2" s="247" t="s">
        <v>338</v>
      </c>
      <c r="F2" s="247" t="s">
        <v>30</v>
      </c>
      <c r="G2" s="246"/>
    </row>
    <row r="3" spans="1:7">
      <c r="A3" s="248" t="str">
        <f>FISCAL!B12</f>
        <v>Almanza Martinez Maribel</v>
      </c>
      <c r="B3" s="248">
        <f>FISCAL!P12</f>
        <v>2586.8000000000002</v>
      </c>
      <c r="C3" s="249">
        <f>SINDICAL!I12</f>
        <v>8280</v>
      </c>
      <c r="D3" s="249">
        <f>+B3+C3</f>
        <v>10866.8</v>
      </c>
      <c r="E3" s="250">
        <v>2586.8000000000002</v>
      </c>
      <c r="F3" s="250">
        <v>8280</v>
      </c>
      <c r="G3" s="249">
        <f>E3+F3-D3</f>
        <v>0</v>
      </c>
    </row>
    <row r="4" spans="1:7">
      <c r="A4" s="248" t="str">
        <f>FISCAL!B13</f>
        <v>Avendaño Jauregui Mauricio</v>
      </c>
      <c r="B4" s="248">
        <f>FISCAL!P13</f>
        <v>2998.8</v>
      </c>
      <c r="C4" s="249">
        <f>SINDICAL!I13</f>
        <v>0</v>
      </c>
      <c r="D4" s="249">
        <f t="shared" ref="D4:D57" si="0">+B4+C4</f>
        <v>2998.8</v>
      </c>
      <c r="E4" s="250">
        <v>2998.8</v>
      </c>
      <c r="F4" s="248"/>
      <c r="G4" s="249">
        <f t="shared" ref="G4:G57" si="1">E4+F4-D4</f>
        <v>0</v>
      </c>
    </row>
    <row r="5" spans="1:7">
      <c r="A5" s="248" t="str">
        <f>FISCAL!B14</f>
        <v>Baez Monroy Elizabeth</v>
      </c>
      <c r="B5" s="248">
        <f>FISCAL!P14</f>
        <v>2385.1999999999998</v>
      </c>
      <c r="C5" s="249">
        <f>SINDICAL!I14</f>
        <v>1455.3</v>
      </c>
      <c r="D5" s="249">
        <f t="shared" si="0"/>
        <v>3840.5</v>
      </c>
      <c r="E5" s="250">
        <v>2385.1999999999998</v>
      </c>
      <c r="F5" s="250">
        <v>1455.3</v>
      </c>
      <c r="G5" s="249">
        <f t="shared" si="1"/>
        <v>0</v>
      </c>
    </row>
    <row r="6" spans="1:7">
      <c r="A6" s="248" t="str">
        <f>FISCAL!B15</f>
        <v>Baltazar Cruz Desiree De Jesus</v>
      </c>
      <c r="B6" s="248">
        <f>FISCAL!P15</f>
        <v>1893.2</v>
      </c>
      <c r="C6" s="249">
        <f>SINDICAL!I15</f>
        <v>2844</v>
      </c>
      <c r="D6" s="249">
        <f t="shared" si="0"/>
        <v>4737.2</v>
      </c>
      <c r="E6" s="250">
        <v>1893.2</v>
      </c>
      <c r="F6" s="250">
        <v>2844</v>
      </c>
      <c r="G6" s="249">
        <f t="shared" si="1"/>
        <v>0</v>
      </c>
    </row>
    <row r="7" spans="1:7">
      <c r="A7" s="248" t="str">
        <f>FISCAL!B16</f>
        <v>Camacho Rivera Martha Sarahi</v>
      </c>
      <c r="B7" s="248">
        <f>FISCAL!P16</f>
        <v>2385.1999999999998</v>
      </c>
      <c r="C7" s="249">
        <f>SINDICAL!I16</f>
        <v>6222.3029999999999</v>
      </c>
      <c r="D7" s="249">
        <f t="shared" si="0"/>
        <v>8607.5030000000006</v>
      </c>
      <c r="E7" s="250">
        <v>2385.1999999999998</v>
      </c>
      <c r="F7" s="250">
        <v>6222.3</v>
      </c>
      <c r="G7" s="249">
        <f t="shared" si="1"/>
        <v>-3.0000000006111804E-3</v>
      </c>
    </row>
    <row r="8" spans="1:7">
      <c r="A8" s="248" t="str">
        <f>FISCAL!B17</f>
        <v>Campos Sancen Luis Felipe</v>
      </c>
      <c r="B8" s="248">
        <f>FISCAL!P17</f>
        <v>5258.4</v>
      </c>
      <c r="C8" s="249">
        <f>SINDICAL!I17</f>
        <v>0</v>
      </c>
      <c r="D8" s="249">
        <f t="shared" si="0"/>
        <v>5258.4</v>
      </c>
      <c r="E8" s="250">
        <v>5258.4</v>
      </c>
      <c r="F8" s="248"/>
      <c r="G8" s="249">
        <f t="shared" si="1"/>
        <v>0</v>
      </c>
    </row>
    <row r="9" spans="1:7">
      <c r="A9" s="248" t="str">
        <f>FISCAL!B18</f>
        <v>Castillo Galindo Marlene Samantha Graciela</v>
      </c>
      <c r="B9" s="248">
        <f>FISCAL!P18</f>
        <v>2630</v>
      </c>
      <c r="C9" s="249">
        <f>SINDICAL!I18</f>
        <v>0</v>
      </c>
      <c r="D9" s="249">
        <f t="shared" si="0"/>
        <v>2630</v>
      </c>
      <c r="E9" s="250">
        <v>2630</v>
      </c>
      <c r="F9" s="248"/>
      <c r="G9" s="249">
        <f t="shared" si="1"/>
        <v>0</v>
      </c>
    </row>
    <row r="10" spans="1:7">
      <c r="A10" s="248" t="str">
        <f>FISCAL!B19</f>
        <v>Cruz Mendoza Salomon</v>
      </c>
      <c r="B10" s="248">
        <f>FISCAL!P19</f>
        <v>4960.2</v>
      </c>
      <c r="C10" s="249">
        <f>SINDICAL!I19</f>
        <v>0</v>
      </c>
      <c r="D10" s="249">
        <f t="shared" si="0"/>
        <v>4960.2</v>
      </c>
      <c r="E10" s="250">
        <v>4960.2</v>
      </c>
      <c r="F10" s="248"/>
      <c r="G10" s="249">
        <f t="shared" si="1"/>
        <v>0</v>
      </c>
    </row>
    <row r="11" spans="1:7">
      <c r="A11" s="248" t="str">
        <f>FISCAL!B20</f>
        <v>Del Alto Castellanos Xochitl</v>
      </c>
      <c r="B11" s="248">
        <f>FISCAL!P20</f>
        <v>2630</v>
      </c>
      <c r="C11" s="249">
        <f>SINDICAL!I20</f>
        <v>0</v>
      </c>
      <c r="D11" s="249">
        <f t="shared" si="0"/>
        <v>2630</v>
      </c>
      <c r="E11" s="250">
        <v>2630</v>
      </c>
      <c r="F11" s="248"/>
      <c r="G11" s="249">
        <f t="shared" si="1"/>
        <v>0</v>
      </c>
    </row>
    <row r="12" spans="1:7">
      <c r="A12" s="248" t="str">
        <f>FISCAL!B21</f>
        <v>Diaz Rojas Rocio Janet</v>
      </c>
      <c r="B12" s="248">
        <f>FISCAL!P21</f>
        <v>8089.2</v>
      </c>
      <c r="C12" s="249">
        <f>SINDICAL!I21</f>
        <v>25560</v>
      </c>
      <c r="D12" s="249">
        <f t="shared" si="0"/>
        <v>33649.199999999997</v>
      </c>
      <c r="E12" s="250">
        <v>8089.2</v>
      </c>
      <c r="F12" s="250">
        <v>25560</v>
      </c>
      <c r="G12" s="249">
        <f t="shared" si="1"/>
        <v>0</v>
      </c>
    </row>
    <row r="13" spans="1:7">
      <c r="A13" s="248" t="str">
        <f>FISCAL!B22</f>
        <v>Escamilla Lopez Rogelio</v>
      </c>
      <c r="B13" s="248">
        <f>FISCAL!P22</f>
        <v>2999.4</v>
      </c>
      <c r="C13" s="249">
        <f>SINDICAL!I22</f>
        <v>0</v>
      </c>
      <c r="D13" s="249">
        <f t="shared" si="0"/>
        <v>2999.4</v>
      </c>
      <c r="E13" s="250">
        <v>2999.4</v>
      </c>
      <c r="F13" s="248"/>
      <c r="G13" s="249">
        <f t="shared" si="1"/>
        <v>0</v>
      </c>
    </row>
    <row r="14" spans="1:7">
      <c r="A14" s="248" t="str">
        <f>FISCAL!B23</f>
        <v>Gallegos Morales Roberto</v>
      </c>
      <c r="B14" s="248">
        <f>FISCAL!P23</f>
        <v>1999.4</v>
      </c>
      <c r="C14" s="249">
        <f>SINDICAL!I23</f>
        <v>0</v>
      </c>
      <c r="D14" s="249">
        <f t="shared" si="0"/>
        <v>1999.4</v>
      </c>
      <c r="E14" s="250">
        <v>1999.4</v>
      </c>
      <c r="F14" s="248"/>
      <c r="G14" s="249">
        <f t="shared" si="1"/>
        <v>0</v>
      </c>
    </row>
    <row r="15" spans="1:7">
      <c r="A15" s="248" t="str">
        <f>FISCAL!B24</f>
        <v>Gallegos Rios Octavio Alberto</v>
      </c>
      <c r="B15" s="248">
        <f>FISCAL!P24</f>
        <v>9425.7999999999993</v>
      </c>
      <c r="C15" s="249">
        <f>SINDICAL!I24</f>
        <v>0</v>
      </c>
      <c r="D15" s="249">
        <f t="shared" si="0"/>
        <v>9425.7999999999993</v>
      </c>
      <c r="E15" s="250">
        <v>9425.7999999999993</v>
      </c>
      <c r="F15" s="248"/>
      <c r="G15" s="249">
        <f t="shared" si="1"/>
        <v>0</v>
      </c>
    </row>
    <row r="16" spans="1:7">
      <c r="A16" s="248" t="str">
        <f>FISCAL!B25</f>
        <v>Gaytan Martinez Raul</v>
      </c>
      <c r="B16" s="248">
        <f>FISCAL!P25</f>
        <v>1244.4000000000001</v>
      </c>
      <c r="C16" s="249">
        <f>SINDICAL!I25</f>
        <v>0</v>
      </c>
      <c r="D16" s="249">
        <f t="shared" si="0"/>
        <v>1244.4000000000001</v>
      </c>
      <c r="E16" s="250">
        <v>1244.4000000000001</v>
      </c>
      <c r="F16" s="248"/>
      <c r="G16" s="249">
        <f t="shared" si="1"/>
        <v>0</v>
      </c>
    </row>
    <row r="17" spans="1:7">
      <c r="A17" s="248" t="str">
        <f>FISCAL!B26</f>
        <v>Guerra Aguilar Alejandro</v>
      </c>
      <c r="B17" s="248">
        <f>FISCAL!P26</f>
        <v>2372.1999999999998</v>
      </c>
      <c r="C17" s="249">
        <f>SINDICAL!I26</f>
        <v>7482.384</v>
      </c>
      <c r="D17" s="249">
        <f t="shared" si="0"/>
        <v>9854.5839999999989</v>
      </c>
      <c r="E17" s="250">
        <v>2372.1999999999998</v>
      </c>
      <c r="F17" s="251">
        <v>7482.38</v>
      </c>
      <c r="G17" s="249">
        <f t="shared" si="1"/>
        <v>-3.9999999989959178E-3</v>
      </c>
    </row>
    <row r="18" spans="1:7">
      <c r="A18" s="248" t="str">
        <f>FISCAL!B27</f>
        <v>Guillen Ayala Juan Carlos</v>
      </c>
      <c r="B18" s="248">
        <f>FISCAL!P27</f>
        <v>1385</v>
      </c>
      <c r="C18" s="249">
        <f>SINDICAL!I27</f>
        <v>12015</v>
      </c>
      <c r="D18" s="249">
        <f t="shared" si="0"/>
        <v>13400</v>
      </c>
      <c r="E18" s="250">
        <v>1385</v>
      </c>
      <c r="F18" s="250">
        <v>12015</v>
      </c>
      <c r="G18" s="249">
        <f t="shared" si="1"/>
        <v>0</v>
      </c>
    </row>
    <row r="19" spans="1:7">
      <c r="A19" s="248" t="str">
        <f>FISCAL!B28</f>
        <v>Hernandez Espinoza Victor Benjami</v>
      </c>
      <c r="B19" s="248">
        <f>FISCAL!P28</f>
        <v>15203.4</v>
      </c>
      <c r="C19" s="249">
        <f>SINDICAL!I28</f>
        <v>0</v>
      </c>
      <c r="D19" s="249">
        <f t="shared" si="0"/>
        <v>15203.4</v>
      </c>
      <c r="E19" s="250">
        <v>15203.4</v>
      </c>
      <c r="F19" s="248"/>
      <c r="G19" s="249">
        <f t="shared" si="1"/>
        <v>0</v>
      </c>
    </row>
    <row r="20" spans="1:7">
      <c r="A20" s="248" t="str">
        <f>FISCAL!B29</f>
        <v>Herrera Almaraz Blanca Sofia</v>
      </c>
      <c r="B20" s="248">
        <f>FISCAL!P29</f>
        <v>2385.1999999999998</v>
      </c>
      <c r="C20" s="249">
        <f>SINDICAL!I29</f>
        <v>3792.6</v>
      </c>
      <c r="D20" s="249">
        <f t="shared" si="0"/>
        <v>6177.7999999999993</v>
      </c>
      <c r="E20" s="250">
        <v>2385.1999999999998</v>
      </c>
      <c r="F20" s="250">
        <v>3792.6</v>
      </c>
      <c r="G20" s="249">
        <f t="shared" si="1"/>
        <v>0</v>
      </c>
    </row>
    <row r="21" spans="1:7">
      <c r="A21" s="248" t="str">
        <f>FISCAL!B30</f>
        <v>Jimenez Suarez Ludivina</v>
      </c>
      <c r="B21" s="248">
        <f>FISCAL!P30</f>
        <v>7764</v>
      </c>
      <c r="C21" s="249">
        <f>SINDICAL!I30</f>
        <v>12000</v>
      </c>
      <c r="D21" s="249">
        <f t="shared" si="0"/>
        <v>19764</v>
      </c>
      <c r="E21" s="250">
        <v>7764</v>
      </c>
      <c r="F21" s="248">
        <v>12000</v>
      </c>
      <c r="G21" s="249">
        <f t="shared" si="1"/>
        <v>0</v>
      </c>
    </row>
    <row r="22" spans="1:7">
      <c r="A22" s="248" t="str">
        <f>FISCAL!B31</f>
        <v>Lizardi Urzua Arizbeth</v>
      </c>
      <c r="B22" s="248">
        <f>FISCAL!P31</f>
        <v>4694.6000000000004</v>
      </c>
      <c r="C22" s="249">
        <f>SINDICAL!I31</f>
        <v>11154.96</v>
      </c>
      <c r="D22" s="249">
        <f t="shared" si="0"/>
        <v>15849.56</v>
      </c>
      <c r="E22" s="250">
        <v>4694.6000000000004</v>
      </c>
      <c r="F22" s="250">
        <v>11154.96</v>
      </c>
      <c r="G22" s="249">
        <f t="shared" si="1"/>
        <v>0</v>
      </c>
    </row>
    <row r="23" spans="1:7">
      <c r="A23" s="248" t="str">
        <f>FISCAL!B32</f>
        <v>Loyola Acosta Carlos Alberto</v>
      </c>
      <c r="B23" s="248">
        <f>FISCAL!P32</f>
        <v>3300.2</v>
      </c>
      <c r="C23" s="249">
        <f>SINDICAL!I32</f>
        <v>0</v>
      </c>
      <c r="D23" s="249">
        <f t="shared" si="0"/>
        <v>3300.2</v>
      </c>
      <c r="E23" s="250">
        <v>3300.2</v>
      </c>
      <c r="F23" s="248"/>
      <c r="G23" s="249">
        <f t="shared" si="1"/>
        <v>0</v>
      </c>
    </row>
    <row r="24" spans="1:7">
      <c r="A24" s="248" t="str">
        <f>FISCAL!B33</f>
        <v>Mandujano Estrada  Ilse Georgina</v>
      </c>
      <c r="B24" s="248">
        <f>FISCAL!P33</f>
        <v>2385.1999999999998</v>
      </c>
      <c r="C24" s="249">
        <f>SINDICAL!I33</f>
        <v>1598.4</v>
      </c>
      <c r="D24" s="249">
        <f t="shared" si="0"/>
        <v>3983.6</v>
      </c>
      <c r="E24" s="250">
        <v>2385.1999999999998</v>
      </c>
      <c r="F24" s="250">
        <v>1598.4</v>
      </c>
      <c r="G24" s="249">
        <f t="shared" si="1"/>
        <v>0</v>
      </c>
    </row>
    <row r="25" spans="1:7">
      <c r="A25" s="248" t="str">
        <f>FISCAL!B34</f>
        <v>Manjarrez Moreno Julio Cesar</v>
      </c>
      <c r="B25" s="248">
        <f>FISCAL!P34</f>
        <v>1305.2</v>
      </c>
      <c r="C25" s="249">
        <f>SINDICAL!I34</f>
        <v>0</v>
      </c>
      <c r="D25" s="249">
        <f t="shared" si="0"/>
        <v>1305.2</v>
      </c>
      <c r="E25" s="250">
        <v>1305.2</v>
      </c>
      <c r="F25" s="248"/>
      <c r="G25" s="249">
        <f t="shared" si="1"/>
        <v>0</v>
      </c>
    </row>
    <row r="26" spans="1:7">
      <c r="A26" s="248" t="str">
        <f>FISCAL!B35</f>
        <v>Martinez Ortiz Josue Alejandro</v>
      </c>
      <c r="B26" s="248">
        <f>FISCAL!P35</f>
        <v>2803.6</v>
      </c>
      <c r="C26" s="249">
        <f>SINDICAL!I35</f>
        <v>1561.5</v>
      </c>
      <c r="D26" s="249">
        <f t="shared" si="0"/>
        <v>4365.1000000000004</v>
      </c>
      <c r="E26" s="250">
        <v>2803.6</v>
      </c>
      <c r="F26" s="250">
        <v>1561.5</v>
      </c>
      <c r="G26" s="249">
        <f t="shared" si="1"/>
        <v>0</v>
      </c>
    </row>
    <row r="27" spans="1:7">
      <c r="A27" s="248" t="str">
        <f>FISCAL!B36</f>
        <v>Mejia Villegas Nallely Beatriz</v>
      </c>
      <c r="B27" s="248">
        <f>FISCAL!P36</f>
        <v>2183</v>
      </c>
      <c r="C27" s="249">
        <f>SINDICAL!I36</f>
        <v>286.5</v>
      </c>
      <c r="D27" s="249">
        <f>+B27+C27</f>
        <v>2469.5</v>
      </c>
      <c r="E27" s="250">
        <v>2183</v>
      </c>
      <c r="F27" s="248">
        <v>286.5</v>
      </c>
      <c r="G27" s="249">
        <f t="shared" si="1"/>
        <v>0</v>
      </c>
    </row>
    <row r="28" spans="1:7">
      <c r="A28" s="248" t="str">
        <f>FISCAL!B37</f>
        <v>Morales Naif Diana</v>
      </c>
      <c r="B28" s="248">
        <f>FISCAL!P37</f>
        <v>2071</v>
      </c>
      <c r="C28" s="249">
        <f>SINDICAL!I37</f>
        <v>1598.4</v>
      </c>
      <c r="D28" s="249">
        <f t="shared" si="0"/>
        <v>3669.4</v>
      </c>
      <c r="E28" s="250">
        <v>2071</v>
      </c>
      <c r="F28" s="250">
        <v>1598.4</v>
      </c>
      <c r="G28" s="249">
        <f t="shared" si="1"/>
        <v>0</v>
      </c>
    </row>
    <row r="29" spans="1:7">
      <c r="A29" s="248" t="str">
        <f>FISCAL!B38</f>
        <v>Muñoz Macias Marco Alfredo</v>
      </c>
      <c r="B29" s="248">
        <f>FISCAL!P38</f>
        <v>1749</v>
      </c>
      <c r="C29" s="249">
        <f>SINDICAL!I38</f>
        <v>10353.393</v>
      </c>
      <c r="D29" s="249">
        <f t="shared" si="0"/>
        <v>12102.393</v>
      </c>
      <c r="E29" s="250">
        <v>1749</v>
      </c>
      <c r="F29" s="250">
        <v>10353.39</v>
      </c>
      <c r="G29" s="249">
        <f>E29+F29-D29</f>
        <v>-3.0000000006111804E-3</v>
      </c>
    </row>
    <row r="30" spans="1:7">
      <c r="A30" s="248" t="str">
        <f>FISCAL!B39</f>
        <v>Muñoz Martinez Patricia Vanessa</v>
      </c>
      <c r="B30" s="248">
        <f>FISCAL!P39</f>
        <v>2803.4</v>
      </c>
      <c r="C30" s="249">
        <f>SINDICAL!I39</f>
        <v>0</v>
      </c>
      <c r="D30" s="249">
        <f t="shared" si="0"/>
        <v>2803.4</v>
      </c>
      <c r="E30" s="250">
        <v>2803.4</v>
      </c>
      <c r="F30" s="248"/>
      <c r="G30" s="249">
        <f t="shared" si="1"/>
        <v>0</v>
      </c>
    </row>
    <row r="31" spans="1:7">
      <c r="A31" s="248" t="str">
        <f>FISCAL!B40</f>
        <v>Nava Ambriz Thania</v>
      </c>
      <c r="B31" s="248">
        <f>FISCAL!P40</f>
        <v>2587</v>
      </c>
      <c r="C31" s="249">
        <f>SINDICAL!I40</f>
        <v>4124.4659999999994</v>
      </c>
      <c r="D31" s="249">
        <f t="shared" si="0"/>
        <v>6711.4659999999994</v>
      </c>
      <c r="E31" s="250">
        <v>2587</v>
      </c>
      <c r="F31" s="250">
        <v>4124.46</v>
      </c>
      <c r="G31" s="249">
        <f t="shared" si="1"/>
        <v>-5.9999999994033715E-3</v>
      </c>
    </row>
    <row r="32" spans="1:7">
      <c r="A32" s="248" t="str">
        <f>FISCAL!B41</f>
        <v>Navarrete Rodriguez Maria Teresa</v>
      </c>
      <c r="B32" s="248">
        <f>FISCAL!P41</f>
        <v>2942.2</v>
      </c>
      <c r="C32" s="249">
        <f>SINDICAL!I41</f>
        <v>18402.363000000001</v>
      </c>
      <c r="D32" s="249">
        <f t="shared" si="0"/>
        <v>21344.563000000002</v>
      </c>
      <c r="E32" s="250">
        <v>2942.2</v>
      </c>
      <c r="F32" s="250">
        <v>18402.36</v>
      </c>
      <c r="G32" s="249">
        <f t="shared" si="1"/>
        <v>-3.0000000006111804E-3</v>
      </c>
    </row>
    <row r="33" spans="1:7">
      <c r="A33" s="248" t="str">
        <f>FISCAL!B42</f>
        <v>Navarro Macias Jennifer</v>
      </c>
      <c r="B33" s="248">
        <f>FISCAL!P42</f>
        <v>4681</v>
      </c>
      <c r="C33" s="249">
        <f>SINDICAL!I42</f>
        <v>0</v>
      </c>
      <c r="D33" s="249">
        <f t="shared" si="0"/>
        <v>4681</v>
      </c>
      <c r="E33" s="250">
        <v>4681</v>
      </c>
      <c r="F33" s="248"/>
      <c r="G33" s="249">
        <f t="shared" si="1"/>
        <v>0</v>
      </c>
    </row>
    <row r="34" spans="1:7">
      <c r="A34" s="248" t="str">
        <f>FISCAL!B43</f>
        <v>Patiño Muñoz Ana Laura</v>
      </c>
      <c r="B34" s="248">
        <f>FISCAL!P43</f>
        <v>4844.6000000000004</v>
      </c>
      <c r="C34" s="249">
        <f>SINDICAL!I43</f>
        <v>27068.589</v>
      </c>
      <c r="D34" s="249">
        <f t="shared" si="0"/>
        <v>31913.188999999998</v>
      </c>
      <c r="E34" s="250">
        <v>4844.6000000000004</v>
      </c>
      <c r="F34" s="250">
        <v>27068.58</v>
      </c>
      <c r="G34" s="249">
        <f t="shared" si="1"/>
        <v>-8.9999999981955625E-3</v>
      </c>
    </row>
    <row r="35" spans="1:7">
      <c r="A35" s="248" t="str">
        <f>FISCAL!B44</f>
        <v>Salcedo Moreno Janitzy Xochitl</v>
      </c>
      <c r="B35" s="248">
        <f>FISCAL!P44</f>
        <v>2628.6</v>
      </c>
      <c r="C35" s="249">
        <f>SINDICAL!I44</f>
        <v>900</v>
      </c>
      <c r="D35" s="249">
        <f t="shared" si="0"/>
        <v>3528.6</v>
      </c>
      <c r="E35" s="250">
        <v>2628.6</v>
      </c>
      <c r="F35" s="248">
        <v>900</v>
      </c>
      <c r="G35" s="249">
        <f t="shared" si="1"/>
        <v>0</v>
      </c>
    </row>
    <row r="36" spans="1:7">
      <c r="A36" s="248" t="str">
        <f>FISCAL!B45</f>
        <v>Sanchez Escamilla Rosalba</v>
      </c>
      <c r="B36" s="248">
        <f>FISCAL!P45</f>
        <v>1976.8</v>
      </c>
      <c r="C36" s="249">
        <f>SINDICAL!I45</f>
        <v>10720.908000000001</v>
      </c>
      <c r="D36" s="249">
        <f t="shared" si="0"/>
        <v>12697.708000000001</v>
      </c>
      <c r="E36" s="250">
        <v>1976.8</v>
      </c>
      <c r="F36" s="250">
        <v>10720.9</v>
      </c>
      <c r="G36" s="249">
        <f t="shared" si="1"/>
        <v>-8.0000000016298145E-3</v>
      </c>
    </row>
    <row r="37" spans="1:7">
      <c r="A37" s="248" t="str">
        <f>FISCAL!B46</f>
        <v>Sanchez Veana Javier</v>
      </c>
      <c r="B37" s="248">
        <f>FISCAL!P46</f>
        <v>4623.8</v>
      </c>
      <c r="C37" s="249">
        <f>SINDICAL!I46</f>
        <v>13144.806</v>
      </c>
      <c r="D37" s="249">
        <f t="shared" si="0"/>
        <v>17768.606</v>
      </c>
      <c r="E37" s="250">
        <v>4623.8</v>
      </c>
      <c r="F37" s="250">
        <v>13144.8</v>
      </c>
      <c r="G37" s="249">
        <f t="shared" si="1"/>
        <v>-6.0000000012223609E-3</v>
      </c>
    </row>
    <row r="38" spans="1:7">
      <c r="A38" s="248" t="str">
        <f>FISCAL!B47</f>
        <v>Santana Anaya Gildardo Enrique</v>
      </c>
      <c r="B38" s="248">
        <f>FISCAL!P47</f>
        <v>5248.6</v>
      </c>
      <c r="C38" s="249">
        <f>SINDICAL!I47</f>
        <v>5000</v>
      </c>
      <c r="D38" s="249">
        <f t="shared" si="0"/>
        <v>10248.6</v>
      </c>
      <c r="E38" s="250">
        <v>5248.6</v>
      </c>
      <c r="F38" s="250">
        <v>5000</v>
      </c>
      <c r="G38" s="249">
        <f t="shared" si="1"/>
        <v>0</v>
      </c>
    </row>
    <row r="39" spans="1:7">
      <c r="A39" s="248" t="str">
        <f>FISCAL!B48</f>
        <v>Segura Mejia Diana Janette</v>
      </c>
      <c r="B39" s="248">
        <f>FISCAL!P48</f>
        <v>2183</v>
      </c>
      <c r="C39" s="249">
        <f>SINDICAL!I48</f>
        <v>778.5</v>
      </c>
      <c r="D39" s="249">
        <f t="shared" si="0"/>
        <v>2961.5</v>
      </c>
      <c r="E39" s="250">
        <v>2183</v>
      </c>
      <c r="F39" s="248">
        <v>778.5</v>
      </c>
      <c r="G39" s="249">
        <f t="shared" si="1"/>
        <v>0</v>
      </c>
    </row>
    <row r="40" spans="1:7">
      <c r="A40" s="248" t="str">
        <f>FISCAL!B49</f>
        <v>Solorzano Juarez Monica Elisa</v>
      </c>
      <c r="B40" s="248">
        <f>FISCAL!P49</f>
        <v>4960.2</v>
      </c>
      <c r="C40" s="249">
        <f>SINDICAL!I49</f>
        <v>0</v>
      </c>
      <c r="D40" s="249">
        <f t="shared" si="0"/>
        <v>4960.2</v>
      </c>
      <c r="E40" s="250">
        <v>4960.2</v>
      </c>
      <c r="F40" s="248"/>
      <c r="G40" s="249">
        <f t="shared" si="1"/>
        <v>0</v>
      </c>
    </row>
    <row r="41" spans="1:7">
      <c r="A41" s="248" t="str">
        <f>FISCAL!B50</f>
        <v>Tierrablanca Sanchez Victor Hugo</v>
      </c>
      <c r="B41" s="248">
        <f>FISCAL!P50</f>
        <v>2299.4</v>
      </c>
      <c r="C41" s="249">
        <f>SINDICAL!I50</f>
        <v>10587.204</v>
      </c>
      <c r="D41" s="249">
        <f t="shared" si="0"/>
        <v>12886.603999999999</v>
      </c>
      <c r="E41" s="250">
        <v>2299.4</v>
      </c>
      <c r="F41" s="250">
        <v>10587.2</v>
      </c>
      <c r="G41" s="249">
        <f t="shared" si="1"/>
        <v>-3.9999999989959178E-3</v>
      </c>
    </row>
    <row r="42" spans="1:7">
      <c r="A42" s="248" t="str">
        <f>FISCAL!B51</f>
        <v>Vazquez Amezcua Gilberto Ramon</v>
      </c>
      <c r="B42" s="248">
        <f>FISCAL!P51</f>
        <v>4960.2</v>
      </c>
      <c r="C42" s="249">
        <f>SINDICAL!I51</f>
        <v>7695.8819999999996</v>
      </c>
      <c r="D42" s="249">
        <f t="shared" si="0"/>
        <v>12656.081999999999</v>
      </c>
      <c r="E42" s="250">
        <v>4960.2</v>
      </c>
      <c r="F42" s="250">
        <v>7695.88</v>
      </c>
      <c r="G42" s="249">
        <f t="shared" si="1"/>
        <v>-1.9999999985884642E-3</v>
      </c>
    </row>
    <row r="43" spans="1:7">
      <c r="A43" s="248" t="str">
        <f>FISCAL!B52</f>
        <v>Vega Fernandez Amalia</v>
      </c>
      <c r="B43" s="248">
        <f>FISCAL!P52</f>
        <v>2800.2</v>
      </c>
      <c r="C43" s="249">
        <f>SINDICAL!I52</f>
        <v>10704.041999999999</v>
      </c>
      <c r="D43" s="249">
        <f t="shared" si="0"/>
        <v>13504.241999999998</v>
      </c>
      <c r="E43" s="250">
        <v>2800.2</v>
      </c>
      <c r="F43" s="250">
        <v>10704.04</v>
      </c>
      <c r="G43" s="249">
        <f t="shared" si="1"/>
        <v>-1.9999999967694748E-3</v>
      </c>
    </row>
    <row r="44" spans="1:7">
      <c r="A44" s="248" t="str">
        <f>FISCAL!B53</f>
        <v>Yerena Martinez Cinthia Guadalupe</v>
      </c>
      <c r="B44" s="248">
        <f>FISCAL!P53</f>
        <v>2999.2</v>
      </c>
      <c r="C44" s="249">
        <f>SINDICAL!I53</f>
        <v>0</v>
      </c>
      <c r="D44" s="249">
        <f t="shared" si="0"/>
        <v>2999.2</v>
      </c>
      <c r="E44" s="250">
        <v>2999.2</v>
      </c>
      <c r="F44" s="248"/>
      <c r="G44" s="249">
        <f t="shared" si="1"/>
        <v>0</v>
      </c>
    </row>
    <row r="45" spans="1:7">
      <c r="A45" s="248" t="str">
        <f>FISCAL!B58</f>
        <v>Guerra Franco José Manuel</v>
      </c>
      <c r="B45" s="248">
        <f>FISCAL!P58</f>
        <v>2488.1999999999998</v>
      </c>
      <c r="C45" s="249">
        <v>0</v>
      </c>
      <c r="D45" s="249">
        <f t="shared" si="0"/>
        <v>2488.1999999999998</v>
      </c>
      <c r="E45" s="250">
        <v>2488.1999999999998</v>
      </c>
      <c r="F45" s="248"/>
      <c r="G45" s="249">
        <f t="shared" si="1"/>
        <v>0</v>
      </c>
    </row>
    <row r="46" spans="1:7">
      <c r="A46" s="248" t="str">
        <f>FISCAL!B59</f>
        <v>Guerrero Hernandez Juan Carlos</v>
      </c>
      <c r="B46" s="248">
        <f>FISCAL!P59</f>
        <v>3116.2</v>
      </c>
      <c r="C46" s="249">
        <f>SINDICAL!I55</f>
        <v>0</v>
      </c>
      <c r="D46" s="249">
        <f t="shared" si="0"/>
        <v>3116.2</v>
      </c>
      <c r="E46" s="250">
        <v>3116.2</v>
      </c>
      <c r="F46" s="248"/>
      <c r="G46" s="249">
        <f>E46+F46-D46</f>
        <v>0</v>
      </c>
    </row>
    <row r="47" spans="1:7">
      <c r="A47" s="248" t="str">
        <f>FISCAL!B60</f>
        <v>Guerrero Martinez Juan Pablo</v>
      </c>
      <c r="B47" s="248">
        <f>FISCAL!P60</f>
        <v>2921.4</v>
      </c>
      <c r="C47" s="249">
        <f>SINDICAL!I56</f>
        <v>0</v>
      </c>
      <c r="D47" s="249">
        <f t="shared" si="0"/>
        <v>2921.4</v>
      </c>
      <c r="E47" s="250">
        <v>2921.4</v>
      </c>
      <c r="F47" s="248"/>
      <c r="G47" s="249">
        <f t="shared" si="1"/>
        <v>0</v>
      </c>
    </row>
    <row r="48" spans="1:7">
      <c r="A48" s="248" t="str">
        <f>FISCAL!B61</f>
        <v>Maldonado Cruz Carlos Ivan</v>
      </c>
      <c r="B48" s="248">
        <f>FISCAL!P61</f>
        <v>3019.4</v>
      </c>
      <c r="C48" s="249">
        <f>SINDICAL!I57</f>
        <v>0</v>
      </c>
      <c r="D48" s="249">
        <f t="shared" si="0"/>
        <v>3019.4</v>
      </c>
      <c r="E48" s="250">
        <v>3019.4</v>
      </c>
      <c r="F48" s="248"/>
      <c r="G48" s="249">
        <f t="shared" si="1"/>
        <v>0</v>
      </c>
    </row>
    <row r="49" spans="1:7">
      <c r="A49" s="248" t="str">
        <f>FISCAL!B62</f>
        <v>Martinez Diaz Leobardo Adrian</v>
      </c>
      <c r="B49" s="248">
        <f>FISCAL!P62</f>
        <v>4930.8</v>
      </c>
      <c r="C49" s="249">
        <f>SINDICAL!I58</f>
        <v>0</v>
      </c>
      <c r="D49" s="249">
        <f>+B49+C49</f>
        <v>4930.8</v>
      </c>
      <c r="E49" s="250">
        <v>4930.8</v>
      </c>
      <c r="F49" s="248"/>
      <c r="G49" s="249">
        <f t="shared" si="1"/>
        <v>0</v>
      </c>
    </row>
    <row r="50" spans="1:7">
      <c r="A50" s="248" t="str">
        <f>FISCAL!B63</f>
        <v>Martinez Herrera Cristian</v>
      </c>
      <c r="B50" s="248">
        <f>FISCAL!P63</f>
        <v>3803.6</v>
      </c>
      <c r="C50" s="249">
        <f>SINDICAL!I59</f>
        <v>0</v>
      </c>
      <c r="D50" s="249">
        <f t="shared" si="0"/>
        <v>3803.6</v>
      </c>
      <c r="E50" s="250">
        <v>3803.6</v>
      </c>
      <c r="F50" s="248"/>
      <c r="G50" s="249">
        <f t="shared" si="1"/>
        <v>0</v>
      </c>
    </row>
    <row r="51" spans="1:7">
      <c r="A51" s="248" t="str">
        <f>FISCAL!B64</f>
        <v>Nieves Osornio Silvestre</v>
      </c>
      <c r="B51" s="248">
        <f>FISCAL!P64</f>
        <v>1519.2</v>
      </c>
      <c r="C51" s="249">
        <f>SINDICAL!I60</f>
        <v>0</v>
      </c>
      <c r="D51" s="249">
        <f t="shared" si="0"/>
        <v>1519.2</v>
      </c>
      <c r="E51" s="250">
        <v>1519.2</v>
      </c>
      <c r="F51" s="248"/>
      <c r="G51" s="249">
        <f t="shared" si="1"/>
        <v>0</v>
      </c>
    </row>
    <row r="52" spans="1:7">
      <c r="A52" s="248" t="str">
        <f>FISCAL!B65</f>
        <v>Prieto Lopez Leobigildo</v>
      </c>
      <c r="B52" s="248">
        <f>FISCAL!P65</f>
        <v>7835.2</v>
      </c>
      <c r="C52" s="249">
        <f>SINDICAL!I61</f>
        <v>0</v>
      </c>
      <c r="D52" s="249">
        <f t="shared" si="0"/>
        <v>7835.2</v>
      </c>
      <c r="E52" s="250">
        <v>7835.2</v>
      </c>
      <c r="F52" s="248"/>
      <c r="G52" s="249">
        <f t="shared" si="1"/>
        <v>0</v>
      </c>
    </row>
    <row r="53" spans="1:7">
      <c r="A53" s="248" t="str">
        <f>FISCAL!B66</f>
        <v>Rodriguez Nuñez Jose Antonio</v>
      </c>
      <c r="B53" s="248">
        <f>FISCAL!P66</f>
        <v>5310.6</v>
      </c>
      <c r="C53" s="249">
        <f>SINDICAL!I62</f>
        <v>0</v>
      </c>
      <c r="D53" s="249">
        <f t="shared" si="0"/>
        <v>5310.6</v>
      </c>
      <c r="E53" s="250">
        <v>5310.6</v>
      </c>
      <c r="F53" s="248"/>
      <c r="G53" s="249">
        <f t="shared" si="1"/>
        <v>0</v>
      </c>
    </row>
    <row r="54" spans="1:7">
      <c r="A54" s="248" t="str">
        <f>FISCAL!B67</f>
        <v>Salas Correa Victor Eduardo</v>
      </c>
      <c r="B54" s="248">
        <f>FISCAL!P67</f>
        <v>4957.2</v>
      </c>
      <c r="C54" s="249">
        <f>SINDICAL!I63</f>
        <v>0</v>
      </c>
      <c r="D54" s="249">
        <f t="shared" si="0"/>
        <v>4957.2</v>
      </c>
      <c r="E54" s="250">
        <v>4957.2</v>
      </c>
      <c r="F54" s="248"/>
      <c r="G54" s="249">
        <f t="shared" si="1"/>
        <v>0</v>
      </c>
    </row>
    <row r="55" spans="1:7">
      <c r="A55" s="248" t="str">
        <f>FISCAL!B68</f>
        <v xml:space="preserve">Sambrano Villarreal Hernan Andres </v>
      </c>
      <c r="B55" s="248">
        <f>FISCAL!P68</f>
        <v>10198</v>
      </c>
      <c r="C55" s="249">
        <f>SINDICAL!I64</f>
        <v>0</v>
      </c>
      <c r="D55" s="249">
        <f t="shared" si="0"/>
        <v>10198</v>
      </c>
      <c r="E55" s="250">
        <v>10198</v>
      </c>
      <c r="F55" s="248"/>
      <c r="G55" s="249">
        <f t="shared" si="1"/>
        <v>0</v>
      </c>
    </row>
    <row r="56" spans="1:7">
      <c r="A56" s="248" t="str">
        <f>FISCAL!B69</f>
        <v>Villegas Alonso Diego Armando</v>
      </c>
      <c r="B56" s="248">
        <f>FISCAL!P69</f>
        <v>4527</v>
      </c>
      <c r="C56" s="249">
        <f>SINDICAL!I65</f>
        <v>0</v>
      </c>
      <c r="D56" s="249">
        <f t="shared" si="0"/>
        <v>4527</v>
      </c>
      <c r="E56" s="250">
        <v>4527</v>
      </c>
      <c r="F56" s="248"/>
      <c r="G56" s="249">
        <f t="shared" si="1"/>
        <v>0</v>
      </c>
    </row>
    <row r="57" spans="1:7">
      <c r="A57" s="248" t="str">
        <f>FISCAL!B70</f>
        <v>Yerena Vazquez Alejandro</v>
      </c>
      <c r="B57" s="248">
        <f>FISCAL!P70</f>
        <v>2686.4</v>
      </c>
      <c r="C57" s="249">
        <f>SINDICAL!I66</f>
        <v>0</v>
      </c>
      <c r="D57" s="249">
        <f t="shared" si="0"/>
        <v>2686.4</v>
      </c>
      <c r="E57" s="250">
        <v>2686.4</v>
      </c>
      <c r="F57" s="248"/>
      <c r="G57" s="249">
        <f t="shared" si="1"/>
        <v>0</v>
      </c>
    </row>
    <row r="58" spans="1:7">
      <c r="A58" s="143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FACTURA</vt:lpstr>
      <vt:lpstr>FISCAL</vt:lpstr>
      <vt:lpstr>SINDICAL</vt:lpstr>
      <vt:lpstr>Hoja1</vt:lpstr>
      <vt:lpstr>POLIZA</vt:lpstr>
      <vt:lpstr>DISPERSIONES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cp:lastPrinted>2016-10-17T15:34:45Z</cp:lastPrinted>
  <dcterms:created xsi:type="dcterms:W3CDTF">2016-08-09T22:06:39Z</dcterms:created>
  <dcterms:modified xsi:type="dcterms:W3CDTF">2016-10-17T19:07:40Z</dcterms:modified>
</cp:coreProperties>
</file>