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15" windowWidth="10200" windowHeight="7785" activeTab="4"/>
  </bookViews>
  <sheets>
    <sheet name="FACTURACION" sheetId="1" r:id="rId1"/>
    <sheet name="FISCAL" sheetId="2" r:id="rId2"/>
    <sheet name="SINDICATO" sheetId="3" r:id="rId3"/>
    <sheet name="POLIZA" sheetId="4" r:id="rId4"/>
    <sheet name="DISPERSIONES" sheetId="5" r:id="rId5"/>
  </sheets>
  <externalReferences>
    <externalReference r:id="rId6"/>
  </externalReferences>
  <definedNames>
    <definedName name="_xlnm._FilterDatabase" localSheetId="0" hidden="1">FACTURACION!$T$11:$Z$53</definedName>
  </definedNames>
  <calcPr calcId="124519"/>
</workbook>
</file>

<file path=xl/calcChain.xml><?xml version="1.0" encoding="utf-8"?>
<calcChain xmlns="http://schemas.openxmlformats.org/spreadsheetml/2006/main">
  <c r="C18" i="5"/>
  <c r="C15"/>
  <c r="C33"/>
  <c r="C34"/>
  <c r="C35"/>
  <c r="C36"/>
  <c r="C37"/>
  <c r="C38"/>
  <c r="C39"/>
  <c r="C40"/>
  <c r="C41"/>
  <c r="C42"/>
  <c r="C43"/>
  <c r="C44"/>
  <c r="C4"/>
  <c r="C5"/>
  <c r="D5" s="1"/>
  <c r="G5" s="1"/>
  <c r="C6"/>
  <c r="C7"/>
  <c r="D7" s="1"/>
  <c r="G7" s="1"/>
  <c r="C8"/>
  <c r="C9"/>
  <c r="D9" s="1"/>
  <c r="G9" s="1"/>
  <c r="C10"/>
  <c r="C11"/>
  <c r="D11" s="1"/>
  <c r="G11" s="1"/>
  <c r="C13"/>
  <c r="D13" s="1"/>
  <c r="G13" s="1"/>
  <c r="C14"/>
  <c r="D15"/>
  <c r="G15" s="1"/>
  <c r="C16"/>
  <c r="C17"/>
  <c r="D17" s="1"/>
  <c r="G17" s="1"/>
  <c r="C19"/>
  <c r="D19" s="1"/>
  <c r="G19" s="1"/>
  <c r="C20"/>
  <c r="C21"/>
  <c r="D21" s="1"/>
  <c r="G21" s="1"/>
  <c r="C22"/>
  <c r="C23"/>
  <c r="D23" s="1"/>
  <c r="G23" s="1"/>
  <c r="C24"/>
  <c r="C25"/>
  <c r="C26"/>
  <c r="C27"/>
  <c r="C28"/>
  <c r="C29"/>
  <c r="C30"/>
  <c r="C31"/>
  <c r="C32"/>
  <c r="G53"/>
  <c r="G54"/>
  <c r="G55"/>
  <c r="G56"/>
  <c r="G57"/>
  <c r="G58"/>
  <c r="G59"/>
  <c r="G60"/>
  <c r="G45"/>
  <c r="G46"/>
  <c r="G47"/>
  <c r="G48"/>
  <c r="G49"/>
  <c r="G50"/>
  <c r="G51"/>
  <c r="G52"/>
  <c r="D49"/>
  <c r="D50"/>
  <c r="D51"/>
  <c r="D52"/>
  <c r="D53"/>
  <c r="D54"/>
  <c r="D55"/>
  <c r="D56"/>
  <c r="D57"/>
  <c r="D58"/>
  <c r="D59"/>
  <c r="D60"/>
  <c r="D2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D35"/>
  <c r="G35" s="1"/>
  <c r="D36"/>
  <c r="G36" s="1"/>
  <c r="D37"/>
  <c r="G37" s="1"/>
  <c r="D38"/>
  <c r="G38" s="1"/>
  <c r="D39"/>
  <c r="G39" s="1"/>
  <c r="D40"/>
  <c r="G40" s="1"/>
  <c r="D41"/>
  <c r="G41" s="1"/>
  <c r="D42"/>
  <c r="G42" s="1"/>
  <c r="D43"/>
  <c r="G43" s="1"/>
  <c r="D44"/>
  <c r="G44" s="1"/>
  <c r="D45"/>
  <c r="D46"/>
  <c r="D47"/>
  <c r="D48"/>
  <c r="D4"/>
  <c r="G4" s="1"/>
  <c r="D6"/>
  <c r="G6" s="1"/>
  <c r="D8"/>
  <c r="G8" s="1"/>
  <c r="D10"/>
  <c r="G10" s="1"/>
  <c r="D14"/>
  <c r="G14" s="1"/>
  <c r="D16"/>
  <c r="G16" s="1"/>
  <c r="D18"/>
  <c r="G18" s="1"/>
  <c r="D20"/>
  <c r="G20" s="1"/>
  <c r="D22"/>
  <c r="G22" s="1"/>
  <c r="D24"/>
  <c r="G24" s="1"/>
  <c r="B46"/>
  <c r="B47"/>
  <c r="B48"/>
  <c r="B49"/>
  <c r="B50"/>
  <c r="B51"/>
  <c r="B52"/>
  <c r="B53"/>
  <c r="B54"/>
  <c r="B55"/>
  <c r="B56"/>
  <c r="B57"/>
  <c r="B58"/>
  <c r="B59"/>
  <c r="B60"/>
  <c r="B45"/>
  <c r="B29"/>
  <c r="B30"/>
  <c r="B31"/>
  <c r="B32"/>
  <c r="B33"/>
  <c r="B34"/>
  <c r="B35"/>
  <c r="B36"/>
  <c r="B37"/>
  <c r="B38"/>
  <c r="B39"/>
  <c r="B40"/>
  <c r="B41"/>
  <c r="B42"/>
  <c r="B43"/>
  <c r="B4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3"/>
  <c r="A46"/>
  <c r="A47"/>
  <c r="A48"/>
  <c r="A49"/>
  <c r="A50"/>
  <c r="A51"/>
  <c r="A52"/>
  <c r="A53"/>
  <c r="A54"/>
  <c r="A55"/>
  <c r="A56"/>
  <c r="A57"/>
  <c r="A58"/>
  <c r="A59"/>
  <c r="A60"/>
  <c r="A45"/>
  <c r="A34"/>
  <c r="A35"/>
  <c r="A36"/>
  <c r="A37"/>
  <c r="A38"/>
  <c r="A39"/>
  <c r="A40"/>
  <c r="A41"/>
  <c r="A42"/>
  <c r="A43"/>
  <c r="A4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"/>
  <c r="B11" i="4" l="1"/>
  <c r="B6"/>
  <c r="B36"/>
  <c r="B37" s="1"/>
  <c r="B14"/>
  <c r="B15" s="1"/>
  <c r="B38" l="1"/>
  <c r="B40" s="1"/>
  <c r="B16"/>
  <c r="B18" s="1"/>
  <c r="O78" i="2"/>
  <c r="O55"/>
  <c r="O81" s="1"/>
  <c r="G81"/>
  <c r="I81"/>
  <c r="J81"/>
  <c r="K81"/>
  <c r="M81"/>
  <c r="E81"/>
  <c r="E78"/>
  <c r="I69" i="1"/>
  <c r="I62"/>
  <c r="I63"/>
  <c r="I64"/>
  <c r="I65"/>
  <c r="I66"/>
  <c r="I67"/>
  <c r="I68"/>
  <c r="I70"/>
  <c r="I71"/>
  <c r="I72"/>
  <c r="I73"/>
  <c r="I74"/>
  <c r="I75"/>
  <c r="I76"/>
  <c r="I61"/>
  <c r="F64" i="3" l="1"/>
  <c r="G64"/>
  <c r="H64"/>
  <c r="I64"/>
  <c r="J64"/>
  <c r="K64"/>
  <c r="E64"/>
  <c r="I13" i="1" l="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12"/>
  <c r="L70" i="2"/>
  <c r="F62" l="1"/>
  <c r="F63"/>
  <c r="F64"/>
  <c r="F65"/>
  <c r="F66"/>
  <c r="F67"/>
  <c r="F68"/>
  <c r="F69"/>
  <c r="F70"/>
  <c r="F71"/>
  <c r="F72"/>
  <c r="F73"/>
  <c r="F75"/>
  <c r="F76"/>
  <c r="F61"/>
  <c r="E54" i="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13"/>
  <c r="B14"/>
  <c r="B15"/>
  <c r="B16"/>
  <c r="B17"/>
  <c r="B18"/>
  <c r="B19"/>
  <c r="B20"/>
  <c r="B21"/>
  <c r="B22"/>
  <c r="B23"/>
  <c r="B12"/>
  <c r="E13" i="1"/>
  <c r="E13" i="3" s="1"/>
  <c r="E14" i="1"/>
  <c r="E14" i="3" s="1"/>
  <c r="E15" i="1"/>
  <c r="E15" i="3" s="1"/>
  <c r="E16" i="1"/>
  <c r="E16" i="3" s="1"/>
  <c r="E17" i="1"/>
  <c r="E17" i="3" s="1"/>
  <c r="E18" i="1"/>
  <c r="E18" i="3" s="1"/>
  <c r="E19" i="1"/>
  <c r="E19" i="3" s="1"/>
  <c r="E20" i="1"/>
  <c r="E20" i="3" s="1"/>
  <c r="E21" i="1"/>
  <c r="E21" i="3" s="1"/>
  <c r="E22" i="1"/>
  <c r="E22" i="3" s="1"/>
  <c r="E23" i="1"/>
  <c r="E23" i="3" s="1"/>
  <c r="E24" i="1"/>
  <c r="E25"/>
  <c r="E25" i="3" s="1"/>
  <c r="E26" i="1"/>
  <c r="E26" i="3" s="1"/>
  <c r="E27" i="1"/>
  <c r="E28"/>
  <c r="E28" i="3" s="1"/>
  <c r="E29" i="1"/>
  <c r="E29" i="3" s="1"/>
  <c r="E30" i="1"/>
  <c r="E30" i="3" s="1"/>
  <c r="E31" i="1"/>
  <c r="E31" i="3" s="1"/>
  <c r="E33" i="1"/>
  <c r="E33" i="3" s="1"/>
  <c r="E34" i="1"/>
  <c r="E34" i="3" s="1"/>
  <c r="E35" i="1"/>
  <c r="E35" i="3" s="1"/>
  <c r="E36" i="1"/>
  <c r="E36" i="3" s="1"/>
  <c r="E37" i="1"/>
  <c r="E37" i="3" s="1"/>
  <c r="E38" i="1"/>
  <c r="E38" i="3" s="1"/>
  <c r="E39" i="1"/>
  <c r="E39" i="3" s="1"/>
  <c r="E40" i="1"/>
  <c r="E40" i="3" s="1"/>
  <c r="E41" i="1"/>
  <c r="E41" i="3" s="1"/>
  <c r="E42" i="1"/>
  <c r="E42" i="3" s="1"/>
  <c r="E43" i="1"/>
  <c r="E43" i="3" s="1"/>
  <c r="E44" i="1"/>
  <c r="E44" i="3" s="1"/>
  <c r="E45" i="1"/>
  <c r="E45" i="3" s="1"/>
  <c r="E46" i="1"/>
  <c r="E46" i="3" s="1"/>
  <c r="E47" i="1"/>
  <c r="E47" i="3" s="1"/>
  <c r="E48" i="1"/>
  <c r="E48" i="3" s="1"/>
  <c r="E49" i="1"/>
  <c r="E49" i="3" s="1"/>
  <c r="E50" i="1"/>
  <c r="E50" i="3" s="1"/>
  <c r="E51" i="1"/>
  <c r="E51" i="3" s="1"/>
  <c r="E52" i="1"/>
  <c r="E52" i="3" s="1"/>
  <c r="E53" i="1"/>
  <c r="E53" i="3" s="1"/>
  <c r="E12" i="1"/>
  <c r="I4" i="2"/>
  <c r="I2"/>
  <c r="F5"/>
  <c r="P62" l="1"/>
  <c r="P63"/>
  <c r="P64"/>
  <c r="P65"/>
  <c r="P66"/>
  <c r="P67"/>
  <c r="P68"/>
  <c r="P69"/>
  <c r="P70"/>
  <c r="P71"/>
  <c r="P72"/>
  <c r="P73"/>
  <c r="P74"/>
  <c r="P75"/>
  <c r="P76"/>
  <c r="P61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12"/>
  <c r="L62"/>
  <c r="L63"/>
  <c r="L64"/>
  <c r="L65"/>
  <c r="L66"/>
  <c r="L67"/>
  <c r="L68"/>
  <c r="L69"/>
  <c r="L71"/>
  <c r="L72"/>
  <c r="L73"/>
  <c r="L74"/>
  <c r="L75"/>
  <c r="L76"/>
  <c r="L61"/>
  <c r="L13"/>
  <c r="L14"/>
  <c r="L15"/>
  <c r="L16"/>
  <c r="L17"/>
  <c r="L18"/>
  <c r="L19"/>
  <c r="L20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N69"/>
  <c r="N70"/>
  <c r="N71"/>
  <c r="N72"/>
  <c r="N73"/>
  <c r="N74"/>
  <c r="N75"/>
  <c r="N76"/>
  <c r="N62"/>
  <c r="N63"/>
  <c r="N64"/>
  <c r="N65"/>
  <c r="N66"/>
  <c r="N67"/>
  <c r="N68"/>
  <c r="N6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12"/>
  <c r="B76"/>
  <c r="B75"/>
  <c r="B74"/>
  <c r="B73"/>
  <c r="B72"/>
  <c r="B70"/>
  <c r="B68"/>
  <c r="B67"/>
  <c r="B66"/>
  <c r="B65"/>
  <c r="B64"/>
  <c r="B63"/>
  <c r="B62"/>
  <c r="B61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13"/>
  <c r="B14"/>
  <c r="B15"/>
  <c r="B16"/>
  <c r="B17"/>
  <c r="B18"/>
  <c r="B19"/>
  <c r="B20"/>
  <c r="B21"/>
  <c r="B22"/>
  <c r="B23"/>
  <c r="B24"/>
  <c r="B12"/>
  <c r="T52" i="1"/>
  <c r="T53"/>
  <c r="T45"/>
  <c r="T46"/>
  <c r="T47"/>
  <c r="T48"/>
  <c r="T49"/>
  <c r="T50"/>
  <c r="T51"/>
  <c r="T44"/>
  <c r="T72"/>
  <c r="T73"/>
  <c r="T74"/>
  <c r="T75"/>
  <c r="T76"/>
  <c r="T42"/>
  <c r="T43"/>
  <c r="T34"/>
  <c r="T35"/>
  <c r="T36"/>
  <c r="T37"/>
  <c r="T38"/>
  <c r="T39"/>
  <c r="T40"/>
  <c r="T41"/>
  <c r="T32"/>
  <c r="T33"/>
  <c r="T22"/>
  <c r="T23"/>
  <c r="T24"/>
  <c r="T89"/>
  <c r="T25"/>
  <c r="T26"/>
  <c r="T27"/>
  <c r="T28"/>
  <c r="T29"/>
  <c r="T30"/>
  <c r="T31"/>
  <c r="T71"/>
  <c r="T70"/>
  <c r="T68"/>
  <c r="T69"/>
  <c r="T62"/>
  <c r="T63"/>
  <c r="T64"/>
  <c r="T65"/>
  <c r="T66"/>
  <c r="T67"/>
  <c r="T61"/>
  <c r="E89"/>
  <c r="AD71"/>
  <c r="AL71" s="1"/>
  <c r="AD70"/>
  <c r="AL70" s="1"/>
  <c r="AN70" s="1"/>
  <c r="AK57"/>
  <c r="AI57"/>
  <c r="AH57"/>
  <c r="AG57"/>
  <c r="AF57"/>
  <c r="AC57"/>
  <c r="AB57"/>
  <c r="AA57"/>
  <c r="AO55"/>
  <c r="AQ55" s="1"/>
  <c r="AP76"/>
  <c r="AD76"/>
  <c r="AO76" s="1"/>
  <c r="AP53"/>
  <c r="AD53"/>
  <c r="AO53" s="1"/>
  <c r="AD75"/>
  <c r="AP52"/>
  <c r="AD52"/>
  <c r="AD51"/>
  <c r="AO51" s="1"/>
  <c r="AP50"/>
  <c r="AD50"/>
  <c r="AO50" s="1"/>
  <c r="AP49"/>
  <c r="AD49"/>
  <c r="AD48"/>
  <c r="AL48" s="1"/>
  <c r="AN48" s="1"/>
  <c r="AD47"/>
  <c r="AL47" s="1"/>
  <c r="AN47" s="1"/>
  <c r="AP46"/>
  <c r="AD46"/>
  <c r="AO46" s="1"/>
  <c r="AP45"/>
  <c r="AD45"/>
  <c r="AO45" s="1"/>
  <c r="AP74"/>
  <c r="Z74"/>
  <c r="F74" i="2" s="1"/>
  <c r="AP44" i="1"/>
  <c r="AD44"/>
  <c r="AP73"/>
  <c r="AD73"/>
  <c r="AP72"/>
  <c r="AD72"/>
  <c r="AO72" s="1"/>
  <c r="AP43"/>
  <c r="AD43"/>
  <c r="AO43" s="1"/>
  <c r="AP68"/>
  <c r="AD68"/>
  <c r="AD42"/>
  <c r="AM42" s="1"/>
  <c r="AP41"/>
  <c r="AD41"/>
  <c r="AO41" s="1"/>
  <c r="AP40"/>
  <c r="AD40"/>
  <c r="AO40" s="1"/>
  <c r="AP39"/>
  <c r="AD39"/>
  <c r="AO39" s="1"/>
  <c r="AD38"/>
  <c r="AL38" s="1"/>
  <c r="AN38" s="1"/>
  <c r="AP37"/>
  <c r="AD37"/>
  <c r="AO37" s="1"/>
  <c r="AP36"/>
  <c r="AD36"/>
  <c r="AO36" s="1"/>
  <c r="AP35"/>
  <c r="AD35"/>
  <c r="AO35" s="1"/>
  <c r="AP34"/>
  <c r="AD34"/>
  <c r="AP67"/>
  <c r="AD67"/>
  <c r="AO67" s="1"/>
  <c r="AP66"/>
  <c r="AD66"/>
  <c r="AO66" s="1"/>
  <c r="AD33"/>
  <c r="AP32"/>
  <c r="Z32"/>
  <c r="AP65"/>
  <c r="AD65"/>
  <c r="AO65" s="1"/>
  <c r="AD64"/>
  <c r="AP31"/>
  <c r="AD31"/>
  <c r="AP30"/>
  <c r="AD30"/>
  <c r="AL30" s="1"/>
  <c r="AD29"/>
  <c r="AL29" s="1"/>
  <c r="AN29" s="1"/>
  <c r="AP28"/>
  <c r="AD28"/>
  <c r="AO28" s="1"/>
  <c r="AP27"/>
  <c r="AD27"/>
  <c r="AO27" s="1"/>
  <c r="AP26"/>
  <c r="AD26"/>
  <c r="AO26" s="1"/>
  <c r="AP63"/>
  <c r="AD63"/>
  <c r="AP62"/>
  <c r="AD62"/>
  <c r="AL62" s="1"/>
  <c r="AD61"/>
  <c r="AM61" s="1"/>
  <c r="AP25"/>
  <c r="AD25"/>
  <c r="AO25" s="1"/>
  <c r="AD24"/>
  <c r="AO24" s="1"/>
  <c r="AP23"/>
  <c r="AD23"/>
  <c r="AO23" s="1"/>
  <c r="AD22"/>
  <c r="AL22" s="1"/>
  <c r="AN22" s="1"/>
  <c r="AD21"/>
  <c r="AL21" s="1"/>
  <c r="AN21" s="1"/>
  <c r="AP20"/>
  <c r="AD20"/>
  <c r="AL20" s="1"/>
  <c r="AD19"/>
  <c r="AL19" s="1"/>
  <c r="AP18"/>
  <c r="AD18"/>
  <c r="AL18" s="1"/>
  <c r="AD17"/>
  <c r="AL17" s="1"/>
  <c r="AN17" s="1"/>
  <c r="AP16"/>
  <c r="AD16"/>
  <c r="AO16" s="1"/>
  <c r="AP15"/>
  <c r="AD15"/>
  <c r="AO15" s="1"/>
  <c r="AP14"/>
  <c r="AD14"/>
  <c r="AO14" s="1"/>
  <c r="AD13"/>
  <c r="AD12"/>
  <c r="AL12" s="1"/>
  <c r="AN12" s="1"/>
  <c r="AP57" l="1"/>
  <c r="E32"/>
  <c r="E32" i="3" s="1"/>
  <c r="Z57" i="1"/>
  <c r="AD74"/>
  <c r="AL74" s="1"/>
  <c r="Z78"/>
  <c r="AQ46"/>
  <c r="AM45"/>
  <c r="AM46"/>
  <c r="AM19"/>
  <c r="AN19" s="1"/>
  <c r="AL50"/>
  <c r="AL51"/>
  <c r="AM18"/>
  <c r="AN18" s="1"/>
  <c r="AT18" s="1"/>
  <c r="AL25"/>
  <c r="AL61"/>
  <c r="AN61" s="1"/>
  <c r="AM50"/>
  <c r="AM51"/>
  <c r="AM30"/>
  <c r="AN30" s="1"/>
  <c r="AD32"/>
  <c r="AO32" s="1"/>
  <c r="AL45"/>
  <c r="AL46"/>
  <c r="AQ14"/>
  <c r="AQ16"/>
  <c r="AL24"/>
  <c r="AQ26"/>
  <c r="AQ27"/>
  <c r="AQ28"/>
  <c r="AQ45"/>
  <c r="AL14"/>
  <c r="AL15"/>
  <c r="AL16"/>
  <c r="AM20"/>
  <c r="AN20" s="1"/>
  <c r="AT20" s="1"/>
  <c r="AM24"/>
  <c r="AL26"/>
  <c r="AL27"/>
  <c r="AL28"/>
  <c r="AO42"/>
  <c r="AM14"/>
  <c r="AM15"/>
  <c r="AM16"/>
  <c r="AM26"/>
  <c r="AM27"/>
  <c r="AM28"/>
  <c r="AM31"/>
  <c r="AL31"/>
  <c r="AM73"/>
  <c r="AL73"/>
  <c r="AM52"/>
  <c r="AL52"/>
  <c r="AL23"/>
  <c r="AM63"/>
  <c r="AM33"/>
  <c r="AL33"/>
  <c r="AM34"/>
  <c r="AL34"/>
  <c r="AM68"/>
  <c r="AL68"/>
  <c r="AM44"/>
  <c r="AL44"/>
  <c r="AL63"/>
  <c r="AO31"/>
  <c r="AQ31" s="1"/>
  <c r="AQ35"/>
  <c r="AM35"/>
  <c r="AL35"/>
  <c r="AQ39"/>
  <c r="AM39"/>
  <c r="AQ40"/>
  <c r="AM40"/>
  <c r="AQ41"/>
  <c r="AM41"/>
  <c r="AQ43"/>
  <c r="AM43"/>
  <c r="AL43"/>
  <c r="AO73"/>
  <c r="AQ73" s="1"/>
  <c r="AL49"/>
  <c r="AM49"/>
  <c r="AO71"/>
  <c r="AQ71" s="1"/>
  <c r="AN71"/>
  <c r="AM71"/>
  <c r="AQ23"/>
  <c r="AM23"/>
  <c r="AQ67"/>
  <c r="AM67"/>
  <c r="AL67"/>
  <c r="AQ37"/>
  <c r="AM37"/>
  <c r="AL37"/>
  <c r="AL53"/>
  <c r="AQ53"/>
  <c r="AM53"/>
  <c r="AQ15"/>
  <c r="AM62"/>
  <c r="AN62" s="1"/>
  <c r="AT62" s="1"/>
  <c r="AM64"/>
  <c r="AL64"/>
  <c r="AQ50"/>
  <c r="AO52"/>
  <c r="AQ52" s="1"/>
  <c r="AL13"/>
  <c r="AQ25"/>
  <c r="AM25"/>
  <c r="AO62"/>
  <c r="AQ62" s="1"/>
  <c r="AO63"/>
  <c r="AQ63" s="1"/>
  <c r="AQ65"/>
  <c r="AM65"/>
  <c r="AL65"/>
  <c r="AQ66"/>
  <c r="AM66"/>
  <c r="AL66"/>
  <c r="AO34"/>
  <c r="AQ34" s="1"/>
  <c r="AQ36"/>
  <c r="AM36"/>
  <c r="AL36"/>
  <c r="AL39"/>
  <c r="AL40"/>
  <c r="AL41"/>
  <c r="AL42"/>
  <c r="AN42" s="1"/>
  <c r="AO68"/>
  <c r="AQ68" s="1"/>
  <c r="AQ72"/>
  <c r="AM72"/>
  <c r="AL72"/>
  <c r="AO44"/>
  <c r="AQ44" s="1"/>
  <c r="AM74"/>
  <c r="AO49"/>
  <c r="AQ49" s="1"/>
  <c r="AL75"/>
  <c r="AM75"/>
  <c r="AL76"/>
  <c r="AQ76"/>
  <c r="AM76"/>
  <c r="AM70"/>
  <c r="AO70"/>
  <c r="AQ70" s="1"/>
  <c r="AO18"/>
  <c r="AQ18" s="1"/>
  <c r="AO20"/>
  <c r="AQ20" s="1"/>
  <c r="AO30"/>
  <c r="AQ30" s="1"/>
  <c r="AO74" l="1"/>
  <c r="AQ74" s="1"/>
  <c r="AN76"/>
  <c r="AT76" s="1"/>
  <c r="AM32"/>
  <c r="AN65"/>
  <c r="AN45"/>
  <c r="AT45" s="1"/>
  <c r="AQ58"/>
  <c r="AQ59" s="1"/>
  <c r="AN43"/>
  <c r="AT43" s="1"/>
  <c r="AN33"/>
  <c r="AN31"/>
  <c r="AT31" s="1"/>
  <c r="AN44"/>
  <c r="AT44" s="1"/>
  <c r="AN46"/>
  <c r="AT46" s="1"/>
  <c r="AN27"/>
  <c r="AT27" s="1"/>
  <c r="AN25"/>
  <c r="AT25" s="1"/>
  <c r="AQ32"/>
  <c r="AQ57" s="1"/>
  <c r="AN16"/>
  <c r="AT16" s="1"/>
  <c r="AL32"/>
  <c r="AL57" s="1"/>
  <c r="AD57"/>
  <c r="AN51"/>
  <c r="AN49"/>
  <c r="AN73"/>
  <c r="AT73" s="1"/>
  <c r="AN15"/>
  <c r="AT15" s="1"/>
  <c r="AN50"/>
  <c r="AT50" s="1"/>
  <c r="AM57"/>
  <c r="AM69" s="1"/>
  <c r="AN26"/>
  <c r="AT26" s="1"/>
  <c r="AN28"/>
  <c r="AT28" s="1"/>
  <c r="AN24"/>
  <c r="AN40"/>
  <c r="AT40" s="1"/>
  <c r="AN14"/>
  <c r="AT14" s="1"/>
  <c r="AN23"/>
  <c r="AN75"/>
  <c r="AN72"/>
  <c r="AT72" s="1"/>
  <c r="AN36"/>
  <c r="AT36" s="1"/>
  <c r="AN66"/>
  <c r="AT66" s="1"/>
  <c r="AN64"/>
  <c r="AN53"/>
  <c r="AT53" s="1"/>
  <c r="AN67"/>
  <c r="AT67" s="1"/>
  <c r="AN35"/>
  <c r="AT35" s="1"/>
  <c r="AN63"/>
  <c r="AN34"/>
  <c r="AT34" s="1"/>
  <c r="AN52"/>
  <c r="AT52" s="1"/>
  <c r="AN39"/>
  <c r="AT39" s="1"/>
  <c r="AN41"/>
  <c r="AT41" s="1"/>
  <c r="AN13"/>
  <c r="AO57"/>
  <c r="AN37"/>
  <c r="AT37" s="1"/>
  <c r="AN74"/>
  <c r="AT74" s="1"/>
  <c r="AN68"/>
  <c r="AT68" s="1"/>
  <c r="AN32" l="1"/>
  <c r="AT32" s="1"/>
  <c r="AN57" l="1"/>
  <c r="Q53" i="2"/>
  <c r="Q51"/>
  <c r="Q48"/>
  <c r="Q24"/>
  <c r="Q21"/>
  <c r="H14"/>
  <c r="Q50"/>
  <c r="J78"/>
  <c r="H64"/>
  <c r="I89" i="1"/>
  <c r="Q76" i="2"/>
  <c r="Q75"/>
  <c r="Q74"/>
  <c r="Q73"/>
  <c r="Q72"/>
  <c r="Q70"/>
  <c r="Q68"/>
  <c r="Q67"/>
  <c r="Q66"/>
  <c r="Q65"/>
  <c r="Q63"/>
  <c r="Q62"/>
  <c r="Q61"/>
  <c r="H76"/>
  <c r="H75"/>
  <c r="H74"/>
  <c r="H73"/>
  <c r="H72"/>
  <c r="H70"/>
  <c r="H68"/>
  <c r="H67"/>
  <c r="H66"/>
  <c r="H65"/>
  <c r="H63"/>
  <c r="H62"/>
  <c r="H61"/>
  <c r="F55" i="3"/>
  <c r="I55"/>
  <c r="P89" i="1"/>
  <c r="Q23" i="2"/>
  <c r="Q13"/>
  <c r="H13"/>
  <c r="H15"/>
  <c r="H16"/>
  <c r="H17"/>
  <c r="H18"/>
  <c r="H19"/>
  <c r="H20"/>
  <c r="H21"/>
  <c r="H22"/>
  <c r="H23"/>
  <c r="H24"/>
  <c r="H25"/>
  <c r="H26"/>
  <c r="H27"/>
  <c r="H28"/>
  <c r="H29"/>
  <c r="C29" i="1" s="1"/>
  <c r="K29" s="1"/>
  <c r="H30" i="2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12"/>
  <c r="Q14"/>
  <c r="Q15"/>
  <c r="Q16"/>
  <c r="Q17"/>
  <c r="Q18"/>
  <c r="Q19"/>
  <c r="Q20"/>
  <c r="Q22"/>
  <c r="Q25"/>
  <c r="Q26"/>
  <c r="Q27"/>
  <c r="Q28"/>
  <c r="Q29"/>
  <c r="Q30"/>
  <c r="Q31"/>
  <c r="Q32"/>
  <c r="Q33"/>
  <c r="Q34"/>
  <c r="Q35"/>
  <c r="Q37"/>
  <c r="Q38"/>
  <c r="Q39"/>
  <c r="Q40"/>
  <c r="Q42"/>
  <c r="Q43"/>
  <c r="Q44"/>
  <c r="Q45"/>
  <c r="Q46"/>
  <c r="Q47"/>
  <c r="Q49"/>
  <c r="Q52"/>
  <c r="Q12"/>
  <c r="G55"/>
  <c r="AX30" i="1"/>
  <c r="G13" i="3"/>
  <c r="G17"/>
  <c r="G24"/>
  <c r="G29"/>
  <c r="G32"/>
  <c r="G33"/>
  <c r="G36"/>
  <c r="G38"/>
  <c r="R78" i="1"/>
  <c r="Q78"/>
  <c r="P78"/>
  <c r="E78"/>
  <c r="P13"/>
  <c r="Q13" s="1"/>
  <c r="P16"/>
  <c r="Q16" s="1"/>
  <c r="R16" s="1"/>
  <c r="P21"/>
  <c r="Q21" s="1"/>
  <c r="R21" s="1"/>
  <c r="P24"/>
  <c r="Q24" s="1"/>
  <c r="R24" s="1"/>
  <c r="P26"/>
  <c r="Q26" s="1"/>
  <c r="R26" s="1"/>
  <c r="P28"/>
  <c r="Q28" s="1"/>
  <c r="R28" s="1"/>
  <c r="P29"/>
  <c r="Q29" s="1"/>
  <c r="R29" s="1"/>
  <c r="P34"/>
  <c r="Q34" s="1"/>
  <c r="R34" s="1"/>
  <c r="P36"/>
  <c r="Q36" s="1"/>
  <c r="R36" s="1"/>
  <c r="P37"/>
  <c r="Q37" s="1"/>
  <c r="R37" s="1"/>
  <c r="C62"/>
  <c r="J62" s="1"/>
  <c r="D62"/>
  <c r="C63"/>
  <c r="J63" s="1"/>
  <c r="D63"/>
  <c r="C64"/>
  <c r="J64" s="1"/>
  <c r="D64"/>
  <c r="C65"/>
  <c r="J65" s="1"/>
  <c r="D65"/>
  <c r="C66"/>
  <c r="J66" s="1"/>
  <c r="D66"/>
  <c r="C67"/>
  <c r="J67" s="1"/>
  <c r="D67"/>
  <c r="C68"/>
  <c r="J68" s="1"/>
  <c r="D68"/>
  <c r="C70"/>
  <c r="J70" s="1"/>
  <c r="D70"/>
  <c r="C72"/>
  <c r="J72" s="1"/>
  <c r="D72"/>
  <c r="C73"/>
  <c r="J73" s="1"/>
  <c r="D73"/>
  <c r="C74"/>
  <c r="J74" s="1"/>
  <c r="D74"/>
  <c r="C75"/>
  <c r="J75" s="1"/>
  <c r="D75"/>
  <c r="C76"/>
  <c r="J76" s="1"/>
  <c r="D76"/>
  <c r="D61"/>
  <c r="C61"/>
  <c r="K61" s="1"/>
  <c r="D55"/>
  <c r="G14" i="3"/>
  <c r="G16"/>
  <c r="P17" i="1"/>
  <c r="Q17" s="1"/>
  <c r="R17" s="1"/>
  <c r="G18" i="3"/>
  <c r="G20"/>
  <c r="G21"/>
  <c r="P22" i="1"/>
  <c r="Q22" s="1"/>
  <c r="R22" s="1"/>
  <c r="G25" i="3"/>
  <c r="G26"/>
  <c r="G28"/>
  <c r="G30"/>
  <c r="P31" i="1"/>
  <c r="Q31" s="1"/>
  <c r="R31" s="1"/>
  <c r="P32"/>
  <c r="Q32" s="1"/>
  <c r="R32" s="1"/>
  <c r="P33"/>
  <c r="Q33" s="1"/>
  <c r="R33" s="1"/>
  <c r="G34" i="3"/>
  <c r="G37"/>
  <c r="P38" i="1"/>
  <c r="G40" i="3"/>
  <c r="G41"/>
  <c r="G42"/>
  <c r="G44"/>
  <c r="G45"/>
  <c r="G46"/>
  <c r="P47" i="1"/>
  <c r="Q47" s="1"/>
  <c r="R47" s="1"/>
  <c r="P48"/>
  <c r="Q48" s="1"/>
  <c r="P49"/>
  <c r="Q49" s="1"/>
  <c r="R49" s="1"/>
  <c r="G50" i="3"/>
  <c r="P52" i="1"/>
  <c r="Q52" s="1"/>
  <c r="R52" s="1"/>
  <c r="P53"/>
  <c r="E12" i="3"/>
  <c r="E55" s="1"/>
  <c r="C89" i="1"/>
  <c r="K89" s="1"/>
  <c r="T13"/>
  <c r="T14"/>
  <c r="T15"/>
  <c r="T16"/>
  <c r="T17"/>
  <c r="T18"/>
  <c r="T19"/>
  <c r="T20"/>
  <c r="T21"/>
  <c r="T12"/>
  <c r="F78" i="2"/>
  <c r="F81" s="1"/>
  <c r="I78"/>
  <c r="K78"/>
  <c r="L78"/>
  <c r="M78"/>
  <c r="N78"/>
  <c r="P78"/>
  <c r="F55"/>
  <c r="L55"/>
  <c r="M55"/>
  <c r="N55"/>
  <c r="P55"/>
  <c r="E55"/>
  <c r="P81" l="1"/>
  <c r="N81"/>
  <c r="L81"/>
  <c r="C28" i="1"/>
  <c r="H28" s="1"/>
  <c r="C40"/>
  <c r="J40" s="1"/>
  <c r="R36" i="2"/>
  <c r="C44" i="1"/>
  <c r="J44" s="1"/>
  <c r="C16"/>
  <c r="F16" s="1"/>
  <c r="C36"/>
  <c r="K36" s="1"/>
  <c r="H61"/>
  <c r="C32"/>
  <c r="K32" s="1"/>
  <c r="C20"/>
  <c r="F20" s="1"/>
  <c r="C47"/>
  <c r="K47" s="1"/>
  <c r="C39"/>
  <c r="K39" s="1"/>
  <c r="C27"/>
  <c r="K27" s="1"/>
  <c r="C12"/>
  <c r="H12" s="1"/>
  <c r="C34"/>
  <c r="J34" s="1"/>
  <c r="C53"/>
  <c r="K53" s="1"/>
  <c r="C49"/>
  <c r="K49" s="1"/>
  <c r="C41"/>
  <c r="K41" s="1"/>
  <c r="C37"/>
  <c r="K37" s="1"/>
  <c r="C33"/>
  <c r="K33" s="1"/>
  <c r="C25"/>
  <c r="K25" s="1"/>
  <c r="C21"/>
  <c r="K21" s="1"/>
  <c r="C17"/>
  <c r="K17" s="1"/>
  <c r="C51"/>
  <c r="K51" s="1"/>
  <c r="C43"/>
  <c r="K43" s="1"/>
  <c r="C31"/>
  <c r="K31" s="1"/>
  <c r="C23"/>
  <c r="K23" s="1"/>
  <c r="C19"/>
  <c r="K19" s="1"/>
  <c r="C15"/>
  <c r="K15" s="1"/>
  <c r="C50"/>
  <c r="J50" s="1"/>
  <c r="C30"/>
  <c r="F30" s="1"/>
  <c r="C26"/>
  <c r="J26" s="1"/>
  <c r="C22"/>
  <c r="K22" s="1"/>
  <c r="C13"/>
  <c r="K13" s="1"/>
  <c r="C52"/>
  <c r="J52" s="1"/>
  <c r="C48"/>
  <c r="J48" s="1"/>
  <c r="H65"/>
  <c r="H75"/>
  <c r="H67"/>
  <c r="H68"/>
  <c r="H70"/>
  <c r="H72"/>
  <c r="R40" i="2"/>
  <c r="R63"/>
  <c r="Q64"/>
  <c r="I55"/>
  <c r="R20"/>
  <c r="R16"/>
  <c r="R74"/>
  <c r="H40" i="3"/>
  <c r="J40" s="1"/>
  <c r="K40" s="1"/>
  <c r="H21"/>
  <c r="J21" s="1"/>
  <c r="K21" s="1"/>
  <c r="C12" i="5" s="1"/>
  <c r="D12" s="1"/>
  <c r="G12" s="1"/>
  <c r="H38" i="3"/>
  <c r="J38" s="1"/>
  <c r="K38" s="1"/>
  <c r="H44"/>
  <c r="J44" s="1"/>
  <c r="K44" s="1"/>
  <c r="H20"/>
  <c r="J20" s="1"/>
  <c r="K20" s="1"/>
  <c r="H24"/>
  <c r="J24" s="1"/>
  <c r="K24" s="1"/>
  <c r="H50"/>
  <c r="J50" s="1"/>
  <c r="K50" s="1"/>
  <c r="H46"/>
  <c r="J46" s="1"/>
  <c r="K46" s="1"/>
  <c r="H41"/>
  <c r="J41" s="1"/>
  <c r="K41" s="1"/>
  <c r="H34"/>
  <c r="J34" s="1"/>
  <c r="K34" s="1"/>
  <c r="H30"/>
  <c r="J30" s="1"/>
  <c r="K30" s="1"/>
  <c r="H32"/>
  <c r="J32" s="1"/>
  <c r="K32" s="1"/>
  <c r="H13"/>
  <c r="J13" s="1"/>
  <c r="K13" s="1"/>
  <c r="H45"/>
  <c r="J45" s="1"/>
  <c r="K45" s="1"/>
  <c r="H28"/>
  <c r="J28" s="1"/>
  <c r="K28" s="1"/>
  <c r="H16"/>
  <c r="J16" s="1"/>
  <c r="K16" s="1"/>
  <c r="H29"/>
  <c r="J29" s="1"/>
  <c r="K29" s="1"/>
  <c r="H26"/>
  <c r="J26" s="1"/>
  <c r="K26" s="1"/>
  <c r="H14"/>
  <c r="J14" s="1"/>
  <c r="K14" s="1"/>
  <c r="H36"/>
  <c r="J36" s="1"/>
  <c r="K36" s="1"/>
  <c r="H42"/>
  <c r="J42" s="1"/>
  <c r="K42" s="1"/>
  <c r="H37"/>
  <c r="J37" s="1"/>
  <c r="K37" s="1"/>
  <c r="H25"/>
  <c r="J25" s="1"/>
  <c r="K25" s="1"/>
  <c r="H18"/>
  <c r="J18" s="1"/>
  <c r="K18" s="1"/>
  <c r="H33"/>
  <c r="J33" s="1"/>
  <c r="K33" s="1"/>
  <c r="H17"/>
  <c r="J17" s="1"/>
  <c r="K17" s="1"/>
  <c r="R38" i="2"/>
  <c r="R62"/>
  <c r="R42"/>
  <c r="R52"/>
  <c r="R44"/>
  <c r="R61"/>
  <c r="R66"/>
  <c r="R76"/>
  <c r="R46"/>
  <c r="R18"/>
  <c r="H62" i="1"/>
  <c r="H74"/>
  <c r="R25" i="2"/>
  <c r="R75"/>
  <c r="C46" i="1"/>
  <c r="J46" s="1"/>
  <c r="H66"/>
  <c r="R47" i="2"/>
  <c r="R43"/>
  <c r="R39"/>
  <c r="R31"/>
  <c r="R27"/>
  <c r="R13"/>
  <c r="R72"/>
  <c r="R12"/>
  <c r="H76" i="1"/>
  <c r="R49" i="2"/>
  <c r="R37"/>
  <c r="R33"/>
  <c r="R17"/>
  <c r="R73"/>
  <c r="J55"/>
  <c r="C18" i="1"/>
  <c r="K18" s="1"/>
  <c r="R32" i="2"/>
  <c r="R28"/>
  <c r="R68"/>
  <c r="H78"/>
  <c r="H81" s="1"/>
  <c r="C42" i="1"/>
  <c r="J42" s="1"/>
  <c r="C38"/>
  <c r="H38" s="1"/>
  <c r="H63"/>
  <c r="G78" i="2"/>
  <c r="R26"/>
  <c r="R19"/>
  <c r="R15"/>
  <c r="R65"/>
  <c r="R67"/>
  <c r="Q41"/>
  <c r="R29"/>
  <c r="R34"/>
  <c r="R30"/>
  <c r="H73" i="1"/>
  <c r="K63"/>
  <c r="K65"/>
  <c r="K67"/>
  <c r="K70"/>
  <c r="K73"/>
  <c r="K75"/>
  <c r="K62"/>
  <c r="K64"/>
  <c r="K66"/>
  <c r="K68"/>
  <c r="K72"/>
  <c r="L72" s="1"/>
  <c r="M72" s="1"/>
  <c r="K74"/>
  <c r="K76"/>
  <c r="G53" i="3"/>
  <c r="I78" i="1"/>
  <c r="J61"/>
  <c r="P50"/>
  <c r="Q50" s="1"/>
  <c r="R50" s="1"/>
  <c r="G48" i="3"/>
  <c r="P45" i="1"/>
  <c r="Q45" s="1"/>
  <c r="R45" s="1"/>
  <c r="P44"/>
  <c r="Q44" s="1"/>
  <c r="R44" s="1"/>
  <c r="G52" i="3"/>
  <c r="I55" i="1"/>
  <c r="D78"/>
  <c r="D81" s="1"/>
  <c r="P42"/>
  <c r="Q42" s="1"/>
  <c r="R42" s="1"/>
  <c r="G49" i="3"/>
  <c r="G35"/>
  <c r="P35" i="1"/>
  <c r="Q35" s="1"/>
  <c r="R35" s="1"/>
  <c r="G31" i="3"/>
  <c r="G12"/>
  <c r="H12" s="1"/>
  <c r="G47"/>
  <c r="G51"/>
  <c r="P51" i="1"/>
  <c r="Q51" s="1"/>
  <c r="R51" s="1"/>
  <c r="P43"/>
  <c r="Q43" s="1"/>
  <c r="R43" s="1"/>
  <c r="G43" i="3"/>
  <c r="G39"/>
  <c r="P39" i="1"/>
  <c r="Q39" s="1"/>
  <c r="R39" s="1"/>
  <c r="P27"/>
  <c r="Q27" s="1"/>
  <c r="R27" s="1"/>
  <c r="G27" i="3"/>
  <c r="G23"/>
  <c r="P23" i="1"/>
  <c r="Q23" s="1"/>
  <c r="R23" s="1"/>
  <c r="G19" i="3"/>
  <c r="P19" i="1"/>
  <c r="Q19" s="1"/>
  <c r="R19" s="1"/>
  <c r="G15" i="3"/>
  <c r="P15" i="1"/>
  <c r="Q15" s="1"/>
  <c r="R15" s="1"/>
  <c r="P18"/>
  <c r="Q18" s="1"/>
  <c r="R18" s="1"/>
  <c r="G22" i="3"/>
  <c r="P46" i="1"/>
  <c r="Q46" s="1"/>
  <c r="R46" s="1"/>
  <c r="P41"/>
  <c r="Q41" s="1"/>
  <c r="R41" s="1"/>
  <c r="P30"/>
  <c r="Q30" s="1"/>
  <c r="R30" s="1"/>
  <c r="P25"/>
  <c r="Q25" s="1"/>
  <c r="R25" s="1"/>
  <c r="P20"/>
  <c r="Q20" s="1"/>
  <c r="R20" s="1"/>
  <c r="P12"/>
  <c r="P40"/>
  <c r="Q40" s="1"/>
  <c r="R40" s="1"/>
  <c r="P14"/>
  <c r="Q14" s="1"/>
  <c r="R14" s="1"/>
  <c r="R53" i="2"/>
  <c r="R51"/>
  <c r="R48"/>
  <c r="R24"/>
  <c r="C24" i="1"/>
  <c r="F24" s="1"/>
  <c r="R21" i="2"/>
  <c r="R14"/>
  <c r="C14" i="1"/>
  <c r="K14" s="1"/>
  <c r="R45" i="2"/>
  <c r="C45" i="1"/>
  <c r="K45" s="1"/>
  <c r="R50" i="2"/>
  <c r="H64" i="1"/>
  <c r="R35" i="2"/>
  <c r="H55"/>
  <c r="C35" i="1"/>
  <c r="K35" s="1"/>
  <c r="R70" i="2"/>
  <c r="Q89" i="1"/>
  <c r="E55"/>
  <c r="E81" s="1"/>
  <c r="K55" i="2"/>
  <c r="R23"/>
  <c r="R22"/>
  <c r="F61" i="1"/>
  <c r="F63"/>
  <c r="F65"/>
  <c r="F67"/>
  <c r="F70"/>
  <c r="F73"/>
  <c r="F75"/>
  <c r="C78"/>
  <c r="H29"/>
  <c r="J29"/>
  <c r="J37"/>
  <c r="F62"/>
  <c r="F64"/>
  <c r="F66"/>
  <c r="F68"/>
  <c r="F72"/>
  <c r="F74"/>
  <c r="F76"/>
  <c r="H34"/>
  <c r="J28"/>
  <c r="H22"/>
  <c r="F29"/>
  <c r="H36"/>
  <c r="F28"/>
  <c r="J12"/>
  <c r="F89"/>
  <c r="J89"/>
  <c r="H89"/>
  <c r="Q53"/>
  <c r="R53" s="1"/>
  <c r="R13"/>
  <c r="R48"/>
  <c r="Q38"/>
  <c r="R38" s="1"/>
  <c r="H23" l="1"/>
  <c r="F36"/>
  <c r="K52"/>
  <c r="H40"/>
  <c r="F49"/>
  <c r="J32"/>
  <c r="H33"/>
  <c r="H17"/>
  <c r="K28"/>
  <c r="F22"/>
  <c r="J20"/>
  <c r="F34"/>
  <c r="H30"/>
  <c r="J25"/>
  <c r="H15"/>
  <c r="F37"/>
  <c r="K34"/>
  <c r="F43"/>
  <c r="K48"/>
  <c r="H41"/>
  <c r="F13"/>
  <c r="J19"/>
  <c r="H21"/>
  <c r="F31"/>
  <c r="H50"/>
  <c r="H51"/>
  <c r="F41"/>
  <c r="K26"/>
  <c r="L61"/>
  <c r="M61" s="1"/>
  <c r="H31"/>
  <c r="J13"/>
  <c r="F19"/>
  <c r="F32"/>
  <c r="H44"/>
  <c r="F44"/>
  <c r="J39"/>
  <c r="H32"/>
  <c r="K44"/>
  <c r="K40"/>
  <c r="J47"/>
  <c r="H47"/>
  <c r="J36"/>
  <c r="L36" s="1"/>
  <c r="M36" s="1"/>
  <c r="N36" s="1"/>
  <c r="J27"/>
  <c r="F40"/>
  <c r="F47"/>
  <c r="J16"/>
  <c r="K20"/>
  <c r="K16"/>
  <c r="H20"/>
  <c r="H16"/>
  <c r="F12"/>
  <c r="F21"/>
  <c r="F48"/>
  <c r="H39"/>
  <c r="K50"/>
  <c r="F26"/>
  <c r="H26"/>
  <c r="H19"/>
  <c r="L19" s="1"/>
  <c r="M19" s="1"/>
  <c r="N19" s="1"/>
  <c r="J21"/>
  <c r="L21" s="1"/>
  <c r="M21" s="1"/>
  <c r="N21" s="1"/>
  <c r="H48"/>
  <c r="J41"/>
  <c r="F15"/>
  <c r="J43"/>
  <c r="J23"/>
  <c r="L23" s="1"/>
  <c r="M23" s="1"/>
  <c r="N23" s="1"/>
  <c r="H49"/>
  <c r="F25"/>
  <c r="J22"/>
  <c r="L22" s="1"/>
  <c r="M22" s="1"/>
  <c r="N22" s="1"/>
  <c r="H13"/>
  <c r="H52"/>
  <c r="F23"/>
  <c r="J30"/>
  <c r="F39"/>
  <c r="J33"/>
  <c r="F27"/>
  <c r="L70"/>
  <c r="M70" s="1"/>
  <c r="N70" s="1"/>
  <c r="R64" i="2"/>
  <c r="L67" i="1"/>
  <c r="M67" s="1"/>
  <c r="N67" s="1"/>
  <c r="K12"/>
  <c r="L12" s="1"/>
  <c r="F52"/>
  <c r="J51"/>
  <c r="J31"/>
  <c r="J15"/>
  <c r="H27"/>
  <c r="L27" s="1"/>
  <c r="M27" s="1"/>
  <c r="N27" s="1"/>
  <c r="H43"/>
  <c r="H53"/>
  <c r="F33"/>
  <c r="F53"/>
  <c r="K30"/>
  <c r="J17"/>
  <c r="F17"/>
  <c r="F50"/>
  <c r="J53"/>
  <c r="H37"/>
  <c r="L37" s="1"/>
  <c r="M37" s="1"/>
  <c r="N37" s="1"/>
  <c r="J49"/>
  <c r="H25"/>
  <c r="F51"/>
  <c r="L68"/>
  <c r="M68" s="1"/>
  <c r="N68" s="1"/>
  <c r="L75"/>
  <c r="M75" s="1"/>
  <c r="N75" s="1"/>
  <c r="L65"/>
  <c r="M65" s="1"/>
  <c r="N65" s="1"/>
  <c r="R41" i="2"/>
  <c r="Q78"/>
  <c r="F18" i="1"/>
  <c r="K42"/>
  <c r="H46"/>
  <c r="F42"/>
  <c r="L63"/>
  <c r="M63" s="1"/>
  <c r="N63" s="1"/>
  <c r="L76"/>
  <c r="M76" s="1"/>
  <c r="N76" s="1"/>
  <c r="J18"/>
  <c r="Q55" i="2"/>
  <c r="H19" i="3"/>
  <c r="J19" s="1"/>
  <c r="K19" s="1"/>
  <c r="H49"/>
  <c r="J49" s="1"/>
  <c r="K49" s="1"/>
  <c r="H52"/>
  <c r="J52" s="1"/>
  <c r="K52" s="1"/>
  <c r="H31"/>
  <c r="J31" s="1"/>
  <c r="K31" s="1"/>
  <c r="H15"/>
  <c r="J15" s="1"/>
  <c r="K15" s="1"/>
  <c r="H23"/>
  <c r="J23" s="1"/>
  <c r="K23" s="1"/>
  <c r="H39"/>
  <c r="J39" s="1"/>
  <c r="K39" s="1"/>
  <c r="H51"/>
  <c r="J51" s="1"/>
  <c r="K51" s="1"/>
  <c r="H22"/>
  <c r="J22" s="1"/>
  <c r="K22" s="1"/>
  <c r="H27"/>
  <c r="J27" s="1"/>
  <c r="K27" s="1"/>
  <c r="H43"/>
  <c r="J43" s="1"/>
  <c r="K43" s="1"/>
  <c r="H47"/>
  <c r="J47" s="1"/>
  <c r="K47" s="1"/>
  <c r="H35"/>
  <c r="J35" s="1"/>
  <c r="K35" s="1"/>
  <c r="H48"/>
  <c r="J48" s="1"/>
  <c r="K48" s="1"/>
  <c r="H53"/>
  <c r="J53" s="1"/>
  <c r="K53" s="1"/>
  <c r="K46" i="1"/>
  <c r="H42"/>
  <c r="L73"/>
  <c r="M73" s="1"/>
  <c r="N73" s="1"/>
  <c r="H78"/>
  <c r="H18"/>
  <c r="F46"/>
  <c r="L62"/>
  <c r="M62" s="1"/>
  <c r="N62" s="1"/>
  <c r="J38"/>
  <c r="F38"/>
  <c r="K38"/>
  <c r="L66"/>
  <c r="M66" s="1"/>
  <c r="N66" s="1"/>
  <c r="L74"/>
  <c r="M74" s="1"/>
  <c r="N74" s="1"/>
  <c r="I81"/>
  <c r="L64"/>
  <c r="M64" s="1"/>
  <c r="N64" s="1"/>
  <c r="J78"/>
  <c r="K78"/>
  <c r="J14"/>
  <c r="H35"/>
  <c r="H45"/>
  <c r="F35"/>
  <c r="J35"/>
  <c r="K24"/>
  <c r="H24"/>
  <c r="P55"/>
  <c r="P81" s="1"/>
  <c r="Q12"/>
  <c r="R12" s="1"/>
  <c r="G55" i="3"/>
  <c r="J24" i="1"/>
  <c r="F14"/>
  <c r="H14"/>
  <c r="C55"/>
  <c r="C81" s="1"/>
  <c r="F45"/>
  <c r="J45"/>
  <c r="R89"/>
  <c r="L29"/>
  <c r="M29" s="1"/>
  <c r="N29" s="1"/>
  <c r="F78"/>
  <c r="L28"/>
  <c r="M28" s="1"/>
  <c r="N28" s="1"/>
  <c r="L34"/>
  <c r="M34" s="1"/>
  <c r="N34" s="1"/>
  <c r="L89"/>
  <c r="N72"/>
  <c r="L40" l="1"/>
  <c r="M40" s="1"/>
  <c r="Q81" i="2"/>
  <c r="L52" i="1"/>
  <c r="L32"/>
  <c r="M32" s="1"/>
  <c r="N32" s="1"/>
  <c r="L43"/>
  <c r="M43" s="1"/>
  <c r="N43" s="1"/>
  <c r="L17"/>
  <c r="M17" s="1"/>
  <c r="N17" s="1"/>
  <c r="L33"/>
  <c r="M33" s="1"/>
  <c r="N33" s="1"/>
  <c r="L41"/>
  <c r="M41" s="1"/>
  <c r="N41" s="1"/>
  <c r="L26"/>
  <c r="M26" s="1"/>
  <c r="N26" s="1"/>
  <c r="L20"/>
  <c r="M20" s="1"/>
  <c r="N20" s="1"/>
  <c r="L13"/>
  <c r="M13" s="1"/>
  <c r="N13" s="1"/>
  <c r="L48"/>
  <c r="M48" s="1"/>
  <c r="N48" s="1"/>
  <c r="L15"/>
  <c r="M15" s="1"/>
  <c r="N15" s="1"/>
  <c r="L31"/>
  <c r="M31" s="1"/>
  <c r="N31" s="1"/>
  <c r="L49"/>
  <c r="M49" s="1"/>
  <c r="N49" s="1"/>
  <c r="L50"/>
  <c r="M50" s="1"/>
  <c r="L44"/>
  <c r="M44" s="1"/>
  <c r="N44" s="1"/>
  <c r="L25"/>
  <c r="M25" s="1"/>
  <c r="N25" s="1"/>
  <c r="L51"/>
  <c r="M51" s="1"/>
  <c r="N51" s="1"/>
  <c r="R55" i="2"/>
  <c r="L47" i="1"/>
  <c r="M47" s="1"/>
  <c r="N47" s="1"/>
  <c r="L39"/>
  <c r="M39" s="1"/>
  <c r="N39" s="1"/>
  <c r="L16"/>
  <c r="M16" s="1"/>
  <c r="N16" s="1"/>
  <c r="L30"/>
  <c r="M30" s="1"/>
  <c r="N30" s="1"/>
  <c r="L53"/>
  <c r="M53" s="1"/>
  <c r="N53" s="1"/>
  <c r="R78" i="2"/>
  <c r="L42" i="1"/>
  <c r="M42" s="1"/>
  <c r="N42" s="1"/>
  <c r="L46"/>
  <c r="M46" s="1"/>
  <c r="L18"/>
  <c r="M18" s="1"/>
  <c r="N18" s="1"/>
  <c r="L38"/>
  <c r="M38" s="1"/>
  <c r="N38" s="1"/>
  <c r="K55"/>
  <c r="K81" s="1"/>
  <c r="L78"/>
  <c r="L14"/>
  <c r="M14" s="1"/>
  <c r="N14" s="1"/>
  <c r="L35"/>
  <c r="M35" s="1"/>
  <c r="N35" s="1"/>
  <c r="L45"/>
  <c r="M45" s="1"/>
  <c r="N45" s="1"/>
  <c r="F55"/>
  <c r="F81" s="1"/>
  <c r="H55"/>
  <c r="H81" s="1"/>
  <c r="J55"/>
  <c r="J81" s="1"/>
  <c r="Q55"/>
  <c r="Q81" s="1"/>
  <c r="L24"/>
  <c r="M24" s="1"/>
  <c r="N24" s="1"/>
  <c r="J12" i="3"/>
  <c r="H55"/>
  <c r="R55" i="1"/>
  <c r="R81" s="1"/>
  <c r="N40"/>
  <c r="N61"/>
  <c r="N78" s="1"/>
  <c r="M78"/>
  <c r="M52"/>
  <c r="N52" s="1"/>
  <c r="M12"/>
  <c r="N12" s="1"/>
  <c r="M89"/>
  <c r="R81" i="2" l="1"/>
  <c r="N50" i="1"/>
  <c r="N46"/>
  <c r="L55"/>
  <c r="L81" s="1"/>
  <c r="K12" i="3"/>
  <c r="J55"/>
  <c r="N89" i="1"/>
  <c r="M55"/>
  <c r="M81" s="1"/>
  <c r="Z80"/>
  <c r="K55" i="3" l="1"/>
  <c r="C3" i="5"/>
  <c r="D3" s="1"/>
  <c r="G3" s="1"/>
  <c r="N55" i="1"/>
  <c r="N81" s="1"/>
  <c r="AJ57" l="1"/>
  <c r="AE57"/>
</calcChain>
</file>

<file path=xl/sharedStrings.xml><?xml version="1.0" encoding="utf-8"?>
<sst xmlns="http://schemas.openxmlformats.org/spreadsheetml/2006/main" count="904" uniqueCount="349">
  <si>
    <t>CONTPAQ i</t>
  </si>
  <si>
    <t xml:space="preserve">      NÓMINAS</t>
  </si>
  <si>
    <t>05 INGENIERIA FISCAL LABORAL SC</t>
  </si>
  <si>
    <t>Lista de Raya (forma tabular)</t>
  </si>
  <si>
    <t>Periodo 20 al 20 Quincenal del 16/10/2016 al 31/10/2016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</si>
  <si>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</si>
  <si>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</si>
  <si>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</si>
  <si>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</si>
  <si>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</si>
  <si>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</si>
  <si>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</si>
  <si>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</si>
  <si>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</si>
  <si>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</si>
  <si>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</si>
  <si>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</si>
  <si>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</si>
  <si>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</si>
  <si>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</si>
  <si>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</si>
  <si>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</si>
  <si>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</si>
  <si>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</si>
  <si>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</si>
  <si>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0AJ28</t>
  </si>
  <si>
    <t>Avendaño Jauregui Mauricio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</si>
  <si>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</si>
  <si>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</si>
  <si>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</si>
  <si>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</si>
  <si>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</si>
  <si>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</si>
  <si>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</si>
  <si>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</si>
  <si>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</si>
  <si>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</si>
  <si>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</si>
  <si>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</si>
  <si>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</si>
  <si>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</si>
  <si>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</si>
  <si>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</si>
  <si>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</si>
  <si>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</si>
  <si>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</si>
  <si>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</si>
  <si>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</si>
  <si>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</si>
  <si>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0GM14</t>
  </si>
  <si>
    <t>Gaytan Martinez Raul</t>
  </si>
  <si>
    <t>0GA21</t>
  </si>
  <si>
    <t>Guerra Aguilar Alejandro</t>
  </si>
  <si>
    <t>GA003</t>
  </si>
  <si>
    <t>Guillen Ayala Juan Carlos</t>
  </si>
  <si>
    <t>0HE04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</si>
  <si>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</si>
  <si>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</si>
  <si>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</si>
  <si>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</si>
  <si>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</si>
  <si>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</si>
  <si>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</si>
  <si>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</si>
  <si>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</si>
  <si>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</si>
  <si>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</si>
  <si>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</si>
  <si>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</si>
  <si>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</si>
  <si>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</si>
  <si>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</si>
  <si>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</si>
  <si>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</si>
  <si>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</si>
  <si>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</si>
  <si>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</si>
  <si>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</si>
  <si>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</si>
  <si>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</si>
  <si>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</si>
  <si>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</si>
  <si>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</si>
  <si>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</si>
  <si>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</si>
  <si>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</si>
  <si>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</si>
  <si>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</si>
  <si>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</si>
  <si>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</si>
  <si>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</si>
  <si>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</si>
  <si>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</si>
  <si>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</si>
  <si>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</si>
  <si>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</si>
  <si>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</si>
  <si>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</si>
  <si>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</si>
  <si>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</si>
  <si>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</si>
  <si>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</si>
  <si>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</si>
  <si>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</si>
  <si>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</si>
  <si>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</si>
  <si>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</si>
  <si>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</si>
  <si>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</si>
  <si>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</si>
  <si>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</si>
  <si>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GFJ22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</si>
  <si>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</si>
  <si>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</si>
  <si>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</si>
  <si>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</si>
  <si>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</si>
  <si>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</si>
  <si>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</si>
  <si>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</si>
  <si>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</si>
  <si>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</si>
  <si>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</si>
  <si>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</si>
  <si>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</si>
  <si>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</si>
  <si>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</si>
  <si>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</si>
  <si>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</si>
  <si>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</si>
  <si>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</si>
  <si>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</si>
  <si>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</si>
  <si>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>VDA19</t>
  </si>
  <si>
    <t>Villegas Alonso Diego Armando</t>
  </si>
  <si>
    <t>0YV27</t>
  </si>
  <si>
    <t>Yerena Vazquez Alejandro</t>
  </si>
  <si>
    <t xml:space="preserve">  =============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</si>
  <si>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</si>
  <si>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</si>
  <si>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</si>
  <si>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</si>
  <si>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</si>
  <si>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</si>
  <si>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</si>
  <si>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</si>
  <si>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</si>
  <si>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</si>
  <si>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</si>
  <si>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</si>
  <si>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</si>
  <si>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</si>
  <si>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</si>
  <si>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</si>
  <si>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</si>
  <si>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</si>
  <si>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</si>
  <si>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</si>
  <si>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</si>
  <si>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</si>
  <si>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</si>
  <si>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</si>
  <si>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</si>
  <si>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</si>
  <si>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</si>
  <si>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</si>
  <si>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</si>
  <si>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</si>
  <si>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</si>
  <si>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</si>
  <si>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</si>
  <si>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</si>
  <si>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</si>
  <si>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SINIESTROS</t>
  </si>
  <si>
    <t>SERVICIO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</si>
  <si>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</si>
  <si>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</si>
  <si>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</si>
  <si>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</si>
  <si>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</si>
  <si>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</si>
  <si>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FACTURACION</t>
  </si>
  <si>
    <t>CAMACHO RIVERA MARTHA SARAHI</t>
  </si>
  <si>
    <t>CR21</t>
  </si>
  <si>
    <t>ENTREGAS/CITAS</t>
  </si>
  <si>
    <t>CAMPOS SANCEN LUIS FELIPE</t>
  </si>
  <si>
    <t>CS27</t>
  </si>
  <si>
    <t>AUX CONTABLE</t>
  </si>
  <si>
    <t>CASTILLO GALINDO MARLENE SAMANTHA GRACIELA</t>
  </si>
  <si>
    <t>CG02</t>
  </si>
  <si>
    <t>INTENDENCIA</t>
  </si>
  <si>
    <t>CRUZ MENDOZA SALOMON</t>
  </si>
  <si>
    <t>KAIZEN</t>
  </si>
  <si>
    <t>2896758940</t>
  </si>
  <si>
    <t>DEL ALTO CASTELLANOS XOCHITL</t>
  </si>
  <si>
    <t>AC03</t>
  </si>
  <si>
    <t>VENTAS</t>
  </si>
  <si>
    <t>DIAZ ROJAS ROCIO JANET</t>
  </si>
  <si>
    <t>GERENTE POST-VENTA</t>
  </si>
  <si>
    <t>ESCAMILLA LOPEZ ROGELIO</t>
  </si>
  <si>
    <t>GALLEGOS MORALES ROBERTO</t>
  </si>
  <si>
    <t>GALLEGOS RIOS OCTAVIO ALBERTO</t>
  </si>
  <si>
    <t>GERENTE DE VENTAS</t>
  </si>
  <si>
    <t>GA21</t>
  </si>
  <si>
    <t>AUXILIAR DE PROCESOS</t>
  </si>
  <si>
    <t>GUERRA FRANCO JOSE MANUEL</t>
  </si>
  <si>
    <t>LAVADOR</t>
  </si>
  <si>
    <t>COSTO</t>
  </si>
  <si>
    <t>GUERRERO HERNANDEZ JUAN CARLOS</t>
  </si>
  <si>
    <t>GUERRERO MARTINEZ JUAN PABLO</t>
  </si>
  <si>
    <t>GUILLEN AYALA JUAN CARLOS</t>
  </si>
  <si>
    <t>VALUADOR SEMINUEVOS</t>
  </si>
  <si>
    <t>HERNANDEZ ESPINOZA VICTOR BENJAMIN</t>
  </si>
  <si>
    <t>HE04</t>
  </si>
  <si>
    <t>GERENTE GENERAL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</si>
  <si>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</si>
  <si>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</si>
  <si>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</si>
  <si>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</si>
  <si>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</si>
  <si>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</si>
  <si>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</si>
  <si>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LOYOLA ACOSTA CARLOS ALBERTO</t>
  </si>
  <si>
    <t>LA02</t>
  </si>
  <si>
    <t>MENSAJERO</t>
  </si>
  <si>
    <t>LUNA NIETO JOSE ENRIQUE</t>
  </si>
  <si>
    <t>TECNICO</t>
  </si>
  <si>
    <t>MALDONADO CRUZ CARLOS IVAN</t>
  </si>
  <si>
    <t>ESTETICAS</t>
  </si>
  <si>
    <t>ME05</t>
  </si>
  <si>
    <t>GREETER</t>
  </si>
  <si>
    <t>MANJARREZ MORENO JULIO CESAR</t>
  </si>
  <si>
    <t>MANTENIMIENTO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</si>
  <si>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</si>
  <si>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</si>
  <si>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</si>
  <si>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</si>
  <si>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</si>
  <si>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</si>
  <si>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</si>
  <si>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</si>
  <si>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</si>
  <si>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</si>
  <si>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INCAPACIDAD POR MATERNIDAD EXPEDIDA POR EL IMSS DE 84 DIAS A PARTIR DEL DIA 19 DE OCTUBRE DEL 2016</t>
  </si>
  <si>
    <t>MUÑOZ MACIAS MARCO ALFREDO</t>
  </si>
  <si>
    <t>TRASLADISTA</t>
  </si>
  <si>
    <t>MUÑOZ MARTINEZ PATRICIA VANESSA</t>
  </si>
  <si>
    <t>CAJERA</t>
  </si>
  <si>
    <t>NAVA AMBRIZ THANIA</t>
  </si>
  <si>
    <t>NA28</t>
  </si>
  <si>
    <t>NAVARRETE RODRIGUEZ MARIA TERESA</t>
  </si>
  <si>
    <t>INTERCAMBIOS</t>
  </si>
  <si>
    <t>NAVARRETE RODRIGUEZ MIGUEL ANGEL</t>
  </si>
  <si>
    <t>NM17</t>
  </si>
  <si>
    <t>AUX ADMINISTRATIVO</t>
  </si>
  <si>
    <t>NIEVES OSORNIO SILVESTRE</t>
  </si>
  <si>
    <t>NO05</t>
  </si>
  <si>
    <t>F&amp;I</t>
  </si>
  <si>
    <t>PATIÑO MUÑOZ ANA LAURA</t>
  </si>
  <si>
    <t>RODRIGUEZ NUÑEZ JOSE ANTONIO</t>
  </si>
  <si>
    <t>PREVIADOR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</si>
  <si>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</si>
  <si>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</si>
  <si>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</si>
  <si>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</si>
  <si>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</si>
  <si>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</si>
  <si>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MDT</t>
  </si>
  <si>
    <t>SANCHEZ ESCAMILLA ROSALBA</t>
  </si>
  <si>
    <t>SE03</t>
  </si>
  <si>
    <t>GARANTIAS</t>
  </si>
  <si>
    <t>REFACCIONES</t>
  </si>
  <si>
    <t>SANCHEZ VEANA JAVIER</t>
  </si>
  <si>
    <t>GERENTE DE REFACCION</t>
  </si>
  <si>
    <t>SANTANA ANAYA GILDARDO ENRIQUE</t>
  </si>
  <si>
    <t>SA03</t>
  </si>
  <si>
    <t>GERENTE DE SISTEMAS</t>
  </si>
  <si>
    <t>SEGURA MEJIA DIANA JANETTE</t>
  </si>
  <si>
    <t>SOLORZANO JUAREZ MONICA ELISA</t>
  </si>
  <si>
    <t>RECURSOS HUMANOS</t>
  </si>
  <si>
    <t>TIERRABLANCA SANCHEZ VICTOR HUGO</t>
  </si>
  <si>
    <t>JEFE DE SERVICIO</t>
  </si>
  <si>
    <t>VAZQUEZ AMEZCUA GILBERTO RAMON</t>
  </si>
  <si>
    <t>AUXILIAR DE REFACCIONES</t>
  </si>
  <si>
    <t>VEGA FERNANDEZ AMALIA</t>
  </si>
  <si>
    <t>VF00</t>
  </si>
  <si>
    <t>VILLEGAS ALONSO DIEGO ARMANDO</t>
  </si>
  <si>
    <t>YERENA MARTINEZ CINTHIA GUADALUPE</t>
  </si>
  <si>
    <t>YERENA VAZQUEZ ALEJANDRO</t>
  </si>
  <si>
    <t>YV27</t>
  </si>
  <si>
    <t>TOTAL NOMINA</t>
  </si>
  <si>
    <t>ESPECIAL</t>
  </si>
  <si>
    <t>Hernandez Espinoza Victor BenjamiN</t>
  </si>
  <si>
    <t>Guerra Franco Jose Manuel</t>
  </si>
  <si>
    <t>Sambrano Villarreal Hernan Andres</t>
  </si>
  <si>
    <t>NOTA: SE REALIZARAN DOS DEPOSITOS Y FACURAS</t>
  </si>
  <si>
    <t>FACTURA 1</t>
  </si>
  <si>
    <t>FACTURA 2</t>
  </si>
  <si>
    <t>Comisión x sindicato</t>
  </si>
  <si>
    <t>SGV Y SGMM</t>
  </si>
  <si>
    <t>2% NOMINA</t>
  </si>
  <si>
    <t>7.5 % COMISIÓN</t>
  </si>
  <si>
    <t>SUBTOTAL</t>
  </si>
  <si>
    <t>IVA</t>
  </si>
  <si>
    <t>TOTAL</t>
  </si>
  <si>
    <t>COMIONES</t>
  </si>
  <si>
    <t xml:space="preserve">ASIMILADOS </t>
  </si>
  <si>
    <t>PENDIENTE ALTA</t>
  </si>
  <si>
    <t>05 SINDICATO ASOCIACIÓN</t>
  </si>
  <si>
    <t>Periodo 19 al 19 Quincenal del 01/10/2016 al 15/10/2016</t>
  </si>
  <si>
    <t>APOYO</t>
  </si>
  <si>
    <t>OTROS</t>
  </si>
  <si>
    <t>Compesación</t>
  </si>
  <si>
    <t>Periodo 1RA QUINCENA</t>
  </si>
  <si>
    <t>01/11/2016 AL 15/11/2016</t>
  </si>
  <si>
    <t>BAJA</t>
  </si>
  <si>
    <t>PAGAR 1 DIA ADICIONAL POR LABORAR  DOMINGO TURNO EXTRA (BAJA DE MAURICIO AVENDAÑO)</t>
  </si>
  <si>
    <t>SOLICITO AJUSTE DE SUELDO AUTORIZADO POR EL ING.SABAS INDICACION DEL LIC VICTOR POR $ 7,000 MENSUAL</t>
  </si>
  <si>
    <t>INCAPACIDAD POR 2 DIAS (04 Y 05 NOV)</t>
  </si>
  <si>
    <t>FAVOR DE AJUSTAR EL SUELDO A $2,000 QUINCENAL</t>
  </si>
  <si>
    <t>PASA A NOMINA SEMANAL</t>
  </si>
  <si>
    <t>Periodo 21 al 21 Quincenal del 01/11/2016 al 15/11/2016</t>
  </si>
  <si>
    <t>INFONAVIT</t>
  </si>
  <si>
    <t>TOTALES</t>
  </si>
  <si>
    <t>TOTAL1</t>
  </si>
  <si>
    <t>Hernandez Espinoza Victor Benjami</t>
  </si>
  <si>
    <t xml:space="preserve">Sambrano Villarreal Hernan Andres </t>
  </si>
  <si>
    <t>Guerra Franco José Manuel</t>
  </si>
  <si>
    <t>SGV</t>
  </si>
  <si>
    <t>SI</t>
  </si>
  <si>
    <t>ASIMILADOS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</si>
  <si>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</si>
  <si>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</si>
  <si>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</si>
  <si>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</si>
  <si>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</si>
  <si>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</si>
  <si>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</si>
  <si>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</si>
  <si>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</si>
  <si>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</si>
  <si>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</si>
  <si>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</si>
  <si>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</si>
  <si>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AREA</t>
  </si>
  <si>
    <t>NOMBRE</t>
  </si>
  <si>
    <t>NOMINA</t>
  </si>
  <si>
    <t>DISPERSIONES</t>
  </si>
  <si>
    <t>INGENIERIA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</si>
</sst>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4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26" fillId="0" borderId="0"/>
    <xf numFmtId="0" fontId="22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22" fillId="0" borderId="0" applyFill="0" applyBorder="0" applyAlignment="0" applyProtection="0"/>
    <xf numFmtId="167" fontId="22" fillId="0" borderId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ill="0" applyBorder="0" applyAlignment="0" applyProtection="0"/>
    <xf numFmtId="167" fontId="26" fillId="0" borderId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2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</cellStyleXfs>
  <cellXfs count="27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0" fillId="0" borderId="0" xfId="0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1" applyFont="1" applyFill="1" applyAlignment="1" applyProtection="1">
      <alignment horizontal="center"/>
    </xf>
    <xf numFmtId="43" fontId="16" fillId="0" borderId="0" xfId="1" applyFont="1" applyFill="1" applyAlignment="1" applyProtection="1">
      <alignment horizontal="center"/>
    </xf>
    <xf numFmtId="43" fontId="1" fillId="0" borderId="0" xfId="1" applyProtection="1"/>
    <xf numFmtId="0" fontId="15" fillId="0" borderId="0" xfId="0" applyFont="1" applyProtection="1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3" fontId="16" fillId="3" borderId="2" xfId="0" applyNumberFormat="1" applyFont="1" applyFill="1" applyBorder="1"/>
    <xf numFmtId="43" fontId="16" fillId="3" borderId="3" xfId="1" applyFont="1" applyFill="1" applyBorder="1" applyAlignment="1">
      <alignment horizontal="center" wrapText="1"/>
    </xf>
    <xf numFmtId="43" fontId="16" fillId="3" borderId="6" xfId="1" applyFont="1" applyFill="1" applyBorder="1" applyAlignment="1">
      <alignment horizontal="center" wrapText="1"/>
    </xf>
    <xf numFmtId="0" fontId="16" fillId="0" borderId="0" xfId="0" applyFont="1" applyFill="1"/>
    <xf numFmtId="43" fontId="16" fillId="3" borderId="7" xfId="1" applyFont="1" applyFill="1" applyBorder="1" applyAlignment="1">
      <alignment horizontal="center" wrapText="1"/>
    </xf>
    <xf numFmtId="43" fontId="1" fillId="3" borderId="3" xfId="1" applyFill="1" applyBorder="1" applyAlignment="1">
      <alignment horizontal="center" wrapText="1"/>
    </xf>
    <xf numFmtId="0" fontId="15" fillId="0" borderId="8" xfId="0" applyFont="1" applyBorder="1"/>
    <xf numFmtId="0" fontId="15" fillId="4" borderId="8" xfId="0" applyFont="1" applyFill="1" applyBorder="1"/>
    <xf numFmtId="0" fontId="15" fillId="0" borderId="8" xfId="0" applyFont="1" applyBorder="1" applyAlignment="1">
      <alignment horizontal="right"/>
    </xf>
    <xf numFmtId="165" fontId="19" fillId="0" borderId="8" xfId="0" applyNumberFormat="1" applyFont="1" applyBorder="1" applyAlignment="1">
      <alignment horizontal="left" vertical="center"/>
    </xf>
    <xf numFmtId="43" fontId="15" fillId="0" borderId="8" xfId="1" applyFont="1" applyBorder="1"/>
    <xf numFmtId="43" fontId="15" fillId="0" borderId="8" xfId="1" applyFont="1" applyFill="1" applyBorder="1"/>
    <xf numFmtId="43" fontId="20" fillId="5" borderId="8" xfId="1" applyFont="1" applyFill="1" applyBorder="1"/>
    <xf numFmtId="43" fontId="15" fillId="8" borderId="8" xfId="1" applyFont="1" applyFill="1" applyBorder="1" applyAlignment="1">
      <alignment horizontal="center"/>
    </xf>
    <xf numFmtId="43" fontId="1" fillId="0" borderId="8" xfId="1" applyFont="1" applyBorder="1"/>
    <xf numFmtId="43" fontId="22" fillId="0" borderId="8" xfId="1" applyFont="1" applyBorder="1"/>
    <xf numFmtId="43" fontId="16" fillId="6" borderId="8" xfId="1" applyFont="1" applyFill="1" applyBorder="1"/>
    <xf numFmtId="43" fontId="15" fillId="0" borderId="8" xfId="1" applyFont="1" applyFill="1" applyBorder="1" applyAlignment="1">
      <alignment horizontal="center"/>
    </xf>
    <xf numFmtId="43" fontId="15" fillId="9" borderId="8" xfId="1" applyFont="1" applyFill="1" applyBorder="1" applyAlignment="1">
      <alignment horizontal="center"/>
    </xf>
    <xf numFmtId="4" fontId="19" fillId="0" borderId="8" xfId="0" applyNumberFormat="1" applyFont="1" applyBorder="1" applyAlignment="1">
      <alignment wrapText="1"/>
    </xf>
    <xf numFmtId="0" fontId="23" fillId="5" borderId="8" xfId="0" applyFont="1" applyFill="1" applyBorder="1" applyAlignment="1">
      <alignment horizontal="right" wrapText="1"/>
    </xf>
    <xf numFmtId="43" fontId="19" fillId="0" borderId="8" xfId="0" applyNumberFormat="1" applyFont="1" applyFill="1" applyBorder="1"/>
    <xf numFmtId="0" fontId="17" fillId="4" borderId="0" xfId="0" applyFont="1" applyFill="1"/>
    <xf numFmtId="43" fontId="15" fillId="7" borderId="8" xfId="1" applyFont="1" applyFill="1" applyBorder="1"/>
    <xf numFmtId="0" fontId="15" fillId="0" borderId="8" xfId="0" applyFont="1" applyFill="1" applyBorder="1"/>
    <xf numFmtId="4" fontId="23" fillId="5" borderId="8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/>
    <xf numFmtId="0" fontId="16" fillId="0" borderId="8" xfId="0" applyFont="1" applyFill="1" applyBorder="1"/>
    <xf numFmtId="12" fontId="15" fillId="0" borderId="8" xfId="1" applyNumberFormat="1" applyFont="1" applyFill="1" applyBorder="1"/>
    <xf numFmtId="165" fontId="19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/>
    </xf>
    <xf numFmtId="43" fontId="22" fillId="0" borderId="8" xfId="1" applyFont="1" applyFill="1" applyBorder="1"/>
    <xf numFmtId="4" fontId="19" fillId="0" borderId="8" xfId="0" applyNumberFormat="1" applyFont="1" applyFill="1" applyBorder="1"/>
    <xf numFmtId="4" fontId="23" fillId="0" borderId="8" xfId="0" applyNumberFormat="1" applyFont="1" applyFill="1" applyBorder="1"/>
    <xf numFmtId="0" fontId="21" fillId="0" borderId="8" xfId="0" applyNumberFormat="1" applyFont="1" applyFill="1" applyBorder="1"/>
    <xf numFmtId="0" fontId="16" fillId="0" borderId="8" xfId="0" applyFont="1" applyFill="1" applyBorder="1" applyAlignment="1">
      <alignment horizontal="center"/>
    </xf>
    <xf numFmtId="4" fontId="23" fillId="0" borderId="8" xfId="0" applyNumberFormat="1" applyFont="1" applyBorder="1"/>
    <xf numFmtId="0" fontId="15" fillId="12" borderId="0" xfId="0" applyFont="1" applyFill="1"/>
    <xf numFmtId="0" fontId="15" fillId="11" borderId="0" xfId="0" applyFont="1" applyFill="1"/>
    <xf numFmtId="49" fontId="19" fillId="0" borderId="8" xfId="0" applyNumberFormat="1" applyFont="1" applyFill="1" applyBorder="1"/>
    <xf numFmtId="0" fontId="15" fillId="5" borderId="8" xfId="0" applyFont="1" applyFill="1" applyBorder="1"/>
    <xf numFmtId="43" fontId="19" fillId="0" borderId="8" xfId="1" applyFont="1" applyFill="1" applyBorder="1"/>
    <xf numFmtId="0" fontId="16" fillId="0" borderId="10" xfId="0" applyFont="1" applyFill="1" applyBorder="1"/>
    <xf numFmtId="0" fontId="15" fillId="0" borderId="7" xfId="0" applyFont="1" applyFill="1" applyBorder="1"/>
    <xf numFmtId="43" fontId="15" fillId="0" borderId="7" xfId="1" applyFont="1" applyFill="1" applyBorder="1"/>
    <xf numFmtId="43" fontId="16" fillId="0" borderId="10" xfId="1" applyFont="1" applyFill="1" applyBorder="1"/>
    <xf numFmtId="43" fontId="15" fillId="0" borderId="10" xfId="1" applyFont="1" applyFill="1" applyBorder="1" applyAlignment="1">
      <alignment horizontal="center"/>
    </xf>
    <xf numFmtId="43" fontId="16" fillId="0" borderId="7" xfId="1" applyFont="1" applyFill="1" applyBorder="1"/>
    <xf numFmtId="43" fontId="1" fillId="0" borderId="0" xfId="1" applyFill="1"/>
    <xf numFmtId="0" fontId="16" fillId="0" borderId="11" xfId="0" applyFont="1" applyBorder="1"/>
    <xf numFmtId="43" fontId="16" fillId="0" borderId="11" xfId="1" applyFont="1" applyBorder="1"/>
    <xf numFmtId="43" fontId="16" fillId="0" borderId="8" xfId="1" applyFont="1" applyBorder="1"/>
    <xf numFmtId="43" fontId="1" fillId="0" borderId="8" xfId="1" applyBorder="1"/>
    <xf numFmtId="43" fontId="15" fillId="0" borderId="0" xfId="1" applyFont="1" applyAlignment="1">
      <alignment horizontal="center"/>
    </xf>
    <xf numFmtId="0" fontId="15" fillId="7" borderId="8" xfId="1" applyNumberFormat="1" applyFont="1" applyFill="1" applyBorder="1" applyAlignment="1">
      <alignment horizontal="center"/>
    </xf>
    <xf numFmtId="0" fontId="16" fillId="7" borderId="8" xfId="1" applyNumberFormat="1" applyFont="1" applyFill="1" applyBorder="1" applyAlignment="1">
      <alignment horizontal="center"/>
    </xf>
    <xf numFmtId="43" fontId="15" fillId="0" borderId="7" xfId="1" applyFont="1" applyFill="1" applyBorder="1" applyAlignment="1">
      <alignment horizontal="center"/>
    </xf>
    <xf numFmtId="43" fontId="16" fillId="0" borderId="11" xfId="1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43" fontId="15" fillId="7" borderId="8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0" borderId="0" xfId="0" applyFont="1" applyFill="1"/>
    <xf numFmtId="44" fontId="15" fillId="0" borderId="0" xfId="2" applyFont="1" applyFill="1" applyAlignment="1" applyProtection="1">
      <alignment horizontal="center"/>
    </xf>
    <xf numFmtId="44" fontId="15" fillId="0" borderId="0" xfId="2" applyFont="1"/>
    <xf numFmtId="44" fontId="16" fillId="3" borderId="3" xfId="2" applyFont="1" applyFill="1" applyBorder="1" applyAlignment="1">
      <alignment horizontal="center" wrapText="1"/>
    </xf>
    <xf numFmtId="44" fontId="16" fillId="3" borderId="7" xfId="2" applyFont="1" applyFill="1" applyBorder="1" applyAlignment="1">
      <alignment horizontal="center" wrapText="1"/>
    </xf>
    <xf numFmtId="44" fontId="15" fillId="0" borderId="8" xfId="2" applyFont="1" applyFill="1" applyBorder="1"/>
    <xf numFmtId="44" fontId="15" fillId="0" borderId="7" xfId="2" applyFont="1" applyFill="1" applyBorder="1"/>
    <xf numFmtId="44" fontId="16" fillId="0" borderId="11" xfId="2" applyFont="1" applyBorder="1"/>
    <xf numFmtId="0" fontId="15" fillId="13" borderId="8" xfId="0" applyFont="1" applyFill="1" applyBorder="1"/>
    <xf numFmtId="43" fontId="0" fillId="0" borderId="8" xfId="1" applyFont="1" applyBorder="1"/>
    <xf numFmtId="0" fontId="21" fillId="0" borderId="8" xfId="0" applyFont="1" applyBorder="1"/>
    <xf numFmtId="0" fontId="19" fillId="0" borderId="8" xfId="0" applyNumberFormat="1" applyFont="1" applyFill="1" applyBorder="1"/>
    <xf numFmtId="0" fontId="15" fillId="4" borderId="8" xfId="0" applyFont="1" applyFill="1" applyBorder="1" applyAlignment="1">
      <alignment horizontal="right"/>
    </xf>
    <xf numFmtId="165" fontId="19" fillId="4" borderId="8" xfId="0" applyNumberFormat="1" applyFont="1" applyFill="1" applyBorder="1" applyAlignment="1">
      <alignment horizontal="left" vertical="center"/>
    </xf>
    <xf numFmtId="44" fontId="15" fillId="4" borderId="8" xfId="2" applyFont="1" applyFill="1" applyBorder="1"/>
    <xf numFmtId="43" fontId="15" fillId="4" borderId="8" xfId="1" applyFont="1" applyFill="1" applyBorder="1"/>
    <xf numFmtId="43" fontId="15" fillId="4" borderId="8" xfId="1" applyFont="1" applyFill="1" applyBorder="1" applyAlignment="1">
      <alignment horizontal="center"/>
    </xf>
    <xf numFmtId="43" fontId="22" fillId="4" borderId="8" xfId="1" applyFont="1" applyFill="1" applyBorder="1"/>
    <xf numFmtId="0" fontId="16" fillId="4" borderId="8" xfId="1" applyNumberFormat="1" applyFont="1" applyFill="1" applyBorder="1" applyAlignment="1">
      <alignment horizontal="center"/>
    </xf>
    <xf numFmtId="0" fontId="16" fillId="0" borderId="8" xfId="0" applyFont="1" applyBorder="1"/>
    <xf numFmtId="43" fontId="20" fillId="4" borderId="8" xfId="1" applyFont="1" applyFill="1" applyBorder="1"/>
    <xf numFmtId="43" fontId="16" fillId="4" borderId="8" xfId="1" applyFont="1" applyFill="1" applyBorder="1"/>
    <xf numFmtId="43" fontId="1" fillId="4" borderId="8" xfId="1" applyFont="1" applyFill="1" applyBorder="1"/>
    <xf numFmtId="4" fontId="19" fillId="4" borderId="8" xfId="0" applyNumberFormat="1" applyFont="1" applyFill="1" applyBorder="1" applyAlignment="1">
      <alignment wrapText="1"/>
    </xf>
    <xf numFmtId="0" fontId="23" fillId="4" borderId="8" xfId="0" applyFont="1" applyFill="1" applyBorder="1" applyAlignment="1">
      <alignment horizontal="right" wrapText="1"/>
    </xf>
    <xf numFmtId="43" fontId="19" fillId="4" borderId="8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0" fontId="9" fillId="0" borderId="0" xfId="0" applyFont="1" applyFill="1" applyBorder="1"/>
    <xf numFmtId="164" fontId="2" fillId="14" borderId="0" xfId="0" applyNumberFormat="1" applyFont="1" applyFill="1" applyBorder="1"/>
    <xf numFmtId="0" fontId="0" fillId="0" borderId="0" xfId="0"/>
    <xf numFmtId="0" fontId="15" fillId="10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9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2" fillId="0" borderId="0" xfId="1" applyFont="1"/>
    <xf numFmtId="164" fontId="2" fillId="0" borderId="0" xfId="0" applyNumberFormat="1" applyFont="1" applyFill="1"/>
    <xf numFmtId="0" fontId="2" fillId="0" borderId="0" xfId="0" applyFont="1" applyFill="1"/>
    <xf numFmtId="0" fontId="0" fillId="0" borderId="0" xfId="0" applyFill="1"/>
    <xf numFmtId="164" fontId="0" fillId="0" borderId="0" xfId="0" applyNumberFormat="1"/>
    <xf numFmtId="49" fontId="2" fillId="14" borderId="0" xfId="0" applyNumberFormat="1" applyFont="1" applyFill="1"/>
    <xf numFmtId="0" fontId="2" fillId="14" borderId="0" xfId="0" applyFont="1" applyFill="1"/>
    <xf numFmtId="164" fontId="2" fillId="14" borderId="0" xfId="0" applyNumberFormat="1" applyFont="1" applyFill="1"/>
    <xf numFmtId="43" fontId="2" fillId="14" borderId="0" xfId="0" applyNumberFormat="1" applyFont="1" applyFill="1"/>
    <xf numFmtId="0" fontId="0" fillId="14" borderId="0" xfId="0" applyFill="1"/>
    <xf numFmtId="43" fontId="2" fillId="14" borderId="0" xfId="1" applyFont="1" applyFill="1"/>
    <xf numFmtId="0" fontId="15" fillId="14" borderId="8" xfId="0" applyFont="1" applyFill="1" applyBorder="1"/>
    <xf numFmtId="165" fontId="19" fillId="14" borderId="8" xfId="0" applyNumberFormat="1" applyFont="1" applyFill="1" applyBorder="1" applyAlignment="1">
      <alignment horizontal="left" vertical="center"/>
    </xf>
    <xf numFmtId="44" fontId="15" fillId="14" borderId="8" xfId="2" applyFont="1" applyFill="1" applyBorder="1"/>
    <xf numFmtId="43" fontId="15" fillId="14" borderId="8" xfId="1" applyFont="1" applyFill="1" applyBorder="1"/>
    <xf numFmtId="43" fontId="20" fillId="14" borderId="8" xfId="1" applyFont="1" applyFill="1" applyBorder="1"/>
    <xf numFmtId="43" fontId="16" fillId="14" borderId="8" xfId="1" applyFont="1" applyFill="1" applyBorder="1"/>
    <xf numFmtId="43" fontId="15" fillId="14" borderId="8" xfId="1" applyFont="1" applyFill="1" applyBorder="1" applyAlignment="1">
      <alignment horizontal="center"/>
    </xf>
    <xf numFmtId="43" fontId="1" fillId="14" borderId="8" xfId="1" applyFont="1" applyFill="1" applyBorder="1"/>
    <xf numFmtId="43" fontId="22" fillId="14" borderId="8" xfId="1" applyFont="1" applyFill="1" applyBorder="1"/>
    <xf numFmtId="4" fontId="19" fillId="14" borderId="8" xfId="0" applyNumberFormat="1" applyFont="1" applyFill="1" applyBorder="1" applyAlignment="1">
      <alignment wrapText="1"/>
    </xf>
    <xf numFmtId="43" fontId="19" fillId="14" borderId="8" xfId="0" applyNumberFormat="1" applyFont="1" applyFill="1" applyBorder="1"/>
    <xf numFmtId="0" fontId="15" fillId="14" borderId="8" xfId="0" applyFont="1" applyFill="1" applyBorder="1" applyAlignment="1">
      <alignment horizontal="right"/>
    </xf>
    <xf numFmtId="0" fontId="23" fillId="14" borderId="8" xfId="0" applyFont="1" applyFill="1" applyBorder="1" applyAlignment="1">
      <alignment horizontal="right" wrapText="1"/>
    </xf>
    <xf numFmtId="0" fontId="15" fillId="14" borderId="0" xfId="0" applyFont="1" applyFill="1"/>
    <xf numFmtId="49" fontId="2" fillId="10" borderId="0" xfId="0" applyNumberFormat="1" applyFont="1" applyFill="1"/>
    <xf numFmtId="0" fontId="2" fillId="10" borderId="0" xfId="0" applyFont="1" applyFill="1"/>
    <xf numFmtId="164" fontId="2" fillId="10" borderId="0" xfId="0" applyNumberFormat="1" applyFont="1" applyFill="1"/>
    <xf numFmtId="0" fontId="0" fillId="10" borderId="0" xfId="0" applyFill="1"/>
    <xf numFmtId="43" fontId="2" fillId="10" borderId="0" xfId="0" applyNumberFormat="1" applyFont="1" applyFill="1"/>
    <xf numFmtId="43" fontId="2" fillId="10" borderId="0" xfId="1" applyFont="1" applyFill="1"/>
    <xf numFmtId="164" fontId="2" fillId="10" borderId="0" xfId="0" applyNumberFormat="1" applyFont="1" applyFill="1" applyBorder="1"/>
    <xf numFmtId="0" fontId="2" fillId="0" borderId="0" xfId="0" applyFont="1" applyAlignment="1">
      <alignment horizontal="center" vertical="center"/>
    </xf>
    <xf numFmtId="43" fontId="15" fillId="0" borderId="0" xfId="1" applyFont="1" applyFill="1"/>
    <xf numFmtId="0" fontId="0" fillId="0" borderId="0" xfId="0"/>
    <xf numFmtId="44" fontId="15" fillId="0" borderId="8" xfId="2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3" fontId="1" fillId="0" borderId="0" xfId="1" applyFont="1"/>
    <xf numFmtId="43" fontId="29" fillId="0" borderId="15" xfId="0" applyNumberFormat="1" applyFont="1" applyBorder="1"/>
    <xf numFmtId="49" fontId="2" fillId="14" borderId="0" xfId="0" applyNumberFormat="1" applyFont="1" applyFill="1"/>
    <xf numFmtId="0" fontId="2" fillId="14" borderId="0" xfId="0" applyFont="1" applyFill="1"/>
    <xf numFmtId="0" fontId="0" fillId="14" borderId="0" xfId="0" applyFill="1"/>
    <xf numFmtId="43" fontId="1" fillId="14" borderId="0" xfId="1" applyFont="1" applyFill="1"/>
    <xf numFmtId="3" fontId="16" fillId="0" borderId="0" xfId="0" applyNumberFormat="1" applyFont="1" applyFill="1" applyBorder="1"/>
    <xf numFmtId="44" fontId="16" fillId="0" borderId="0" xfId="2" applyFont="1" applyFill="1" applyBorder="1" applyAlignment="1">
      <alignment horizontal="center" wrapText="1"/>
    </xf>
    <xf numFmtId="43" fontId="16" fillId="0" borderId="0" xfId="1" applyFont="1" applyFill="1" applyBorder="1" applyAlignment="1">
      <alignment horizontal="center" wrapText="1"/>
    </xf>
    <xf numFmtId="43" fontId="1" fillId="0" borderId="0" xfId="1" applyFill="1" applyBorder="1" applyAlignment="1">
      <alignment horizontal="center" wrapText="1"/>
    </xf>
    <xf numFmtId="12" fontId="15" fillId="14" borderId="8" xfId="1" applyNumberFormat="1" applyFont="1" applyFill="1" applyBorder="1"/>
    <xf numFmtId="0" fontId="15" fillId="14" borderId="8" xfId="1" applyNumberFormat="1" applyFont="1" applyFill="1" applyBorder="1" applyAlignment="1">
      <alignment horizontal="center"/>
    </xf>
    <xf numFmtId="0" fontId="16" fillId="14" borderId="8" xfId="0" applyFont="1" applyFill="1" applyBorder="1"/>
    <xf numFmtId="0" fontId="19" fillId="0" borderId="8" xfId="0" applyNumberFormat="1" applyFont="1" applyFill="1" applyBorder="1" applyAlignment="1">
      <alignment horizontal="left"/>
    </xf>
    <xf numFmtId="0" fontId="21" fillId="0" borderId="9" xfId="4" applyFont="1" applyFill="1" applyBorder="1"/>
    <xf numFmtId="43" fontId="16" fillId="7" borderId="8" xfId="1" applyFont="1" applyFill="1" applyBorder="1" applyAlignment="1">
      <alignment horizontal="center"/>
    </xf>
    <xf numFmtId="0" fontId="15" fillId="5" borderId="10" xfId="0" applyFont="1" applyFill="1" applyBorder="1"/>
    <xf numFmtId="44" fontId="15" fillId="5" borderId="10" xfId="2" applyFont="1" applyFill="1" applyBorder="1"/>
    <xf numFmtId="43" fontId="15" fillId="5" borderId="10" xfId="1" applyFont="1" applyFill="1" applyBorder="1"/>
    <xf numFmtId="43" fontId="16" fillId="6" borderId="10" xfId="1" applyFont="1" applyFill="1" applyBorder="1"/>
    <xf numFmtId="43" fontId="15" fillId="7" borderId="10" xfId="1" applyFont="1" applyFill="1" applyBorder="1"/>
    <xf numFmtId="43" fontId="15" fillId="7" borderId="10" xfId="1" applyFont="1" applyFill="1" applyBorder="1" applyAlignment="1">
      <alignment horizontal="center"/>
    </xf>
    <xf numFmtId="43" fontId="15" fillId="8" borderId="10" xfId="1" applyFont="1" applyFill="1" applyBorder="1" applyAlignment="1">
      <alignment horizontal="center"/>
    </xf>
    <xf numFmtId="43" fontId="15" fillId="9" borderId="10" xfId="1" applyFont="1" applyFill="1" applyBorder="1" applyAlignment="1">
      <alignment horizontal="center"/>
    </xf>
    <xf numFmtId="0" fontId="32" fillId="0" borderId="0" xfId="0" applyFont="1"/>
    <xf numFmtId="49" fontId="2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6" fillId="4" borderId="8" xfId="0" applyFont="1" applyFill="1" applyBorder="1" applyAlignment="1">
      <alignment horizontal="left" wrapText="1"/>
    </xf>
    <xf numFmtId="164" fontId="2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0" fontId="2" fillId="15" borderId="0" xfId="0" applyFont="1" applyFill="1"/>
    <xf numFmtId="0" fontId="0" fillId="15" borderId="0" xfId="0" applyFill="1"/>
    <xf numFmtId="43" fontId="0" fillId="15" borderId="0" xfId="0" applyNumberFormat="1" applyFill="1"/>
    <xf numFmtId="0" fontId="34" fillId="0" borderId="18" xfId="0" applyFont="1" applyBorder="1"/>
    <xf numFmtId="0" fontId="33" fillId="0" borderId="18" xfId="0" applyFont="1" applyBorder="1"/>
    <xf numFmtId="0" fontId="0" fillId="0" borderId="18" xfId="0" applyFont="1" applyBorder="1"/>
    <xf numFmtId="14" fontId="34" fillId="0" borderId="18" xfId="0" applyNumberFormat="1" applyFont="1" applyBorder="1"/>
    <xf numFmtId="43" fontId="1" fillId="0" borderId="18" xfId="1" applyFont="1" applyBorder="1"/>
    <xf numFmtId="0" fontId="0" fillId="0" borderId="18" xfId="0" applyBorder="1"/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43" fontId="1" fillId="0" borderId="22" xfId="1" applyFont="1" applyBorder="1"/>
    <xf numFmtId="43" fontId="33" fillId="0" borderId="21" xfId="1" applyFont="1" applyBorder="1"/>
    <xf numFmtId="0" fontId="16" fillId="3" borderId="8" xfId="0" applyFont="1" applyFill="1" applyBorder="1" applyAlignment="1">
      <alignment horizontal="center"/>
    </xf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43" fontId="16" fillId="3" borderId="2" xfId="1" applyFont="1" applyFill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43" fontId="1" fillId="3" borderId="4" xfId="1" applyFill="1" applyBorder="1" applyAlignment="1">
      <alignment horizontal="center" wrapText="1"/>
    </xf>
    <xf numFmtId="43" fontId="1" fillId="3" borderId="5" xfId="1" applyFill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0" fillId="13" borderId="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</cellXfs>
  <cellStyles count="490">
    <cellStyle name="Excel Built-in Normal" xfId="5"/>
    <cellStyle name="Excel Built-in Normal 2" xfId="6"/>
    <cellStyle name="Excel Built-in Normal 3" xfId="7"/>
    <cellStyle name="Followed Hyperlink" xfId="8"/>
    <cellStyle name="Followed Hyperlink 10" xfId="9"/>
    <cellStyle name="Followed Hyperlink 11" xfId="10"/>
    <cellStyle name="Followed Hyperlink 12" xfId="11"/>
    <cellStyle name="Followed Hyperlink 12 2" xfId="12"/>
    <cellStyle name="Followed Hyperlink 13" xfId="13"/>
    <cellStyle name="Followed Hyperlink 14" xfId="14"/>
    <cellStyle name="Followed Hyperlink 15" xfId="15"/>
    <cellStyle name="Followed Hyperlink 15 2" xfId="16"/>
    <cellStyle name="Followed Hyperlink 16" xfId="17"/>
    <cellStyle name="Followed Hyperlink 17" xfId="18"/>
    <cellStyle name="Followed Hyperlink 17 2" xfId="19"/>
    <cellStyle name="Followed Hyperlink 18" xfId="20"/>
    <cellStyle name="Followed Hyperlink 19" xfId="21"/>
    <cellStyle name="Followed Hyperlink 19 2" xfId="22"/>
    <cellStyle name="Followed Hyperlink 2" xfId="23"/>
    <cellStyle name="Followed Hyperlink 2 2" xfId="24"/>
    <cellStyle name="Followed Hyperlink 3" xfId="25"/>
    <cellStyle name="Followed Hyperlink 4" xfId="26"/>
    <cellStyle name="Followed Hyperlink 4 2" xfId="27"/>
    <cellStyle name="Followed Hyperlink 5" xfId="28"/>
    <cellStyle name="Followed Hyperlink 6" xfId="29"/>
    <cellStyle name="Followed Hyperlink 6 2" xfId="30"/>
    <cellStyle name="Followed Hyperlink 7" xfId="31"/>
    <cellStyle name="Followed Hyperlink 8" xfId="32"/>
    <cellStyle name="Followed Hyperlink 9" xfId="33"/>
    <cellStyle name="Hyperlink" xfId="34"/>
    <cellStyle name="Hyperlink 10" xfId="35"/>
    <cellStyle name="Hyperlink 11" xfId="36"/>
    <cellStyle name="Hyperlink 12" xfId="37"/>
    <cellStyle name="Hyperlink 12 2" xfId="38"/>
    <cellStyle name="Hyperlink 13" xfId="39"/>
    <cellStyle name="Hyperlink 14" xfId="40"/>
    <cellStyle name="Hyperlink 15" xfId="41"/>
    <cellStyle name="Hyperlink 15 2" xfId="42"/>
    <cellStyle name="Hyperlink 16" xfId="43"/>
    <cellStyle name="Hyperlink 17" xfId="44"/>
    <cellStyle name="Hyperlink 17 2" xfId="45"/>
    <cellStyle name="Hyperlink 18" xfId="46"/>
    <cellStyle name="Hyperlink 19" xfId="47"/>
    <cellStyle name="Hyperlink 19 2" xfId="48"/>
    <cellStyle name="Hyperlink 2" xfId="49"/>
    <cellStyle name="Hyperlink 2 2" xfId="50"/>
    <cellStyle name="Hyperlink 3" xfId="51"/>
    <cellStyle name="Hyperlink 4" xfId="52"/>
    <cellStyle name="Hyperlink 4 2" xfId="53"/>
    <cellStyle name="Hyperlink 5" xfId="54"/>
    <cellStyle name="Hyperlink 6" xfId="55"/>
    <cellStyle name="Hyperlink 6 2" xfId="56"/>
    <cellStyle name="Hyperlink 7" xfId="57"/>
    <cellStyle name="Hyperlink 8" xfId="58"/>
    <cellStyle name="Hyperlink 9" xfId="59"/>
    <cellStyle name="Millares" xfId="1" builtinId="3"/>
    <cellStyle name="Millares 2" xfId="60"/>
    <cellStyle name="Millares 2 2" xfId="61"/>
    <cellStyle name="Millares 2 2 2" xfId="62"/>
    <cellStyle name="Millares 2 3" xfId="63"/>
    <cellStyle name="Millares 2 4" xfId="64"/>
    <cellStyle name="Millares 2 5" xfId="65"/>
    <cellStyle name="Millares 2 6" xfId="66"/>
    <cellStyle name="Millares 3" xfId="67"/>
    <cellStyle name="Millares 3 2" xfId="68"/>
    <cellStyle name="Millares 3 3" xfId="69"/>
    <cellStyle name="Millares 4" xfId="70"/>
    <cellStyle name="Millares 4 2" xfId="71"/>
    <cellStyle name="Millares 4 2 2" xfId="72"/>
    <cellStyle name="Millares 4 3" xfId="73"/>
    <cellStyle name="Millares 4 3 2" xfId="74"/>
    <cellStyle name="Millares 4 4" xfId="75"/>
    <cellStyle name="Millares 5" xfId="76"/>
    <cellStyle name="Millares 5 2" xfId="77"/>
    <cellStyle name="Millares 6" xfId="78"/>
    <cellStyle name="Millares 7" xfId="79"/>
    <cellStyle name="Millares 8" xfId="80"/>
    <cellStyle name="Moneda" xfId="2" builtinId="4"/>
    <cellStyle name="Moneda 2" xfId="81"/>
    <cellStyle name="Moneda 2 2" xfId="82"/>
    <cellStyle name="Moneda 3" xfId="83"/>
    <cellStyle name="Moneda 4" xfId="84"/>
    <cellStyle name="Moneda 5" xfId="85"/>
    <cellStyle name="Moneda 5 2" xfId="86"/>
    <cellStyle name="Moneda 6" xfId="87"/>
    <cellStyle name="Moneda 7" xfId="88"/>
    <cellStyle name="Moneda 7 2" xfId="89"/>
    <cellStyle name="Moneda 8" xfId="90"/>
    <cellStyle name="Normal" xfId="0" builtinId="0"/>
    <cellStyle name="Normal 10" xfId="91"/>
    <cellStyle name="Normal 10 2" xfId="92"/>
    <cellStyle name="Normal 10 3" xfId="93"/>
    <cellStyle name="Normal 11" xfId="94"/>
    <cellStyle name="Normal 11 2" xfId="95"/>
    <cellStyle name="Normal 11 3" xfId="96"/>
    <cellStyle name="Normal 12" xfId="97"/>
    <cellStyle name="Normal 12 2" xfId="98"/>
    <cellStyle name="Normal 12 3" xfId="99"/>
    <cellStyle name="Normal 12 4" xfId="100"/>
    <cellStyle name="Normal 12 4 2" xfId="101"/>
    <cellStyle name="Normal 12 5" xfId="102"/>
    <cellStyle name="Normal 13" xfId="103"/>
    <cellStyle name="Normal 14" xfId="104"/>
    <cellStyle name="Normal 15" xfId="105"/>
    <cellStyle name="Normal 15 2" xfId="106"/>
    <cellStyle name="Normal 15 3" xfId="107"/>
    <cellStyle name="Normal 16" xfId="108"/>
    <cellStyle name="Normal 16 2" xfId="109"/>
    <cellStyle name="Normal 16 3" xfId="110"/>
    <cellStyle name="Normal 16 4" xfId="111"/>
    <cellStyle name="Normal 17" xfId="112"/>
    <cellStyle name="Normal 17 2" xfId="113"/>
    <cellStyle name="Normal 17 3" xfId="114"/>
    <cellStyle name="Normal 18" xfId="115"/>
    <cellStyle name="Normal 19" xfId="116"/>
    <cellStyle name="Normal 19 2" xfId="117"/>
    <cellStyle name="Normal 2" xfId="118"/>
    <cellStyle name="Normal 2 10" xfId="119"/>
    <cellStyle name="Normal 2 11" xfId="120"/>
    <cellStyle name="Normal 2 11 2" xfId="121"/>
    <cellStyle name="Normal 2 12" xfId="122"/>
    <cellStyle name="Normal 2 13" xfId="123"/>
    <cellStyle name="Normal 2 2" xfId="4"/>
    <cellStyle name="Normal 2 2 10" xfId="124"/>
    <cellStyle name="Normal 2 2 11" xfId="125"/>
    <cellStyle name="Normal 2 2 12" xfId="126"/>
    <cellStyle name="Normal 2 2 14" xfId="127"/>
    <cellStyle name="Normal 2 2 2" xfId="128"/>
    <cellStyle name="Normal 2 2 2 10" xfId="129"/>
    <cellStyle name="Normal 2 2 2 11" xfId="130"/>
    <cellStyle name="Normal 2 2 2 2" xfId="131"/>
    <cellStyle name="Normal 2 2 2 2 10" xfId="132"/>
    <cellStyle name="Normal 2 2 2 2 2" xfId="133"/>
    <cellStyle name="Normal 2 2 2 2 2 2" xfId="134"/>
    <cellStyle name="Normal 2 2 2 2 2 2 2" xfId="135"/>
    <cellStyle name="Normal 2 2 2 2 2 2 2 2" xfId="136"/>
    <cellStyle name="Normal 2 2 2 2 2 2 2 2 2" xfId="137"/>
    <cellStyle name="Normal 2 2 2 2 2 2 2 3" xfId="138"/>
    <cellStyle name="Normal 2 2 2 2 2 2 3" xfId="139"/>
    <cellStyle name="Normal 2 2 2 2 2 2 3 2" xfId="140"/>
    <cellStyle name="Normal 2 2 2 2 2 3" xfId="141"/>
    <cellStyle name="Normal 2 2 2 2 2 4" xfId="142"/>
    <cellStyle name="Normal 2 2 2 2 2 5" xfId="143"/>
    <cellStyle name="Normal 2 2 2 2 2 6" xfId="144"/>
    <cellStyle name="Normal 2 2 2 2 2 7" xfId="145"/>
    <cellStyle name="Normal 2 2 2 2 2 7 2" xfId="146"/>
    <cellStyle name="Normal 2 2 2 2 2 8" xfId="147"/>
    <cellStyle name="Normal 2 2 2 2 3" xfId="148"/>
    <cellStyle name="Normal 2 2 2 2 3 2" xfId="149"/>
    <cellStyle name="Normal 2 2 2 2 3 2 2" xfId="150"/>
    <cellStyle name="Normal 2 2 2 2 3 2 2 2" xfId="151"/>
    <cellStyle name="Normal 2 2 2 2 3 2 3" xfId="152"/>
    <cellStyle name="Normal 2 2 2 2 3 3" xfId="153"/>
    <cellStyle name="Normal 2 2 2 2 3 3 2" xfId="154"/>
    <cellStyle name="Normal 2 2 2 2 3 4" xfId="155"/>
    <cellStyle name="Normal 2 2 2 2 3 5" xfId="156"/>
    <cellStyle name="Normal 2 2 2 2 4" xfId="157"/>
    <cellStyle name="Normal 2 2 2 2 5" xfId="158"/>
    <cellStyle name="Normal 2 2 2 2 6" xfId="159"/>
    <cellStyle name="Normal 2 2 2 2 7" xfId="160"/>
    <cellStyle name="Normal 2 2 2 2 7 2" xfId="161"/>
    <cellStyle name="Normal 2 2 2 2 8" xfId="162"/>
    <cellStyle name="Normal 2 2 2 2 9" xfId="163"/>
    <cellStyle name="Normal 2 2 2 3" xfId="164"/>
    <cellStyle name="Normal 2 2 2 4" xfId="165"/>
    <cellStyle name="Normal 2 2 2 4 2" xfId="166"/>
    <cellStyle name="Normal 2 2 2 4 2 2" xfId="167"/>
    <cellStyle name="Normal 2 2 2 4 2 2 2" xfId="168"/>
    <cellStyle name="Normal 2 2 2 4 2 3" xfId="169"/>
    <cellStyle name="Normal 2 2 2 4 3" xfId="170"/>
    <cellStyle name="Normal 2 2 2 4 3 2" xfId="171"/>
    <cellStyle name="Normal 2 2 2 4 4" xfId="172"/>
    <cellStyle name="Normal 2 2 2 5" xfId="173"/>
    <cellStyle name="Normal 2 2 2 6" xfId="174"/>
    <cellStyle name="Normal 2 2 2 7" xfId="175"/>
    <cellStyle name="Normal 2 2 2 8" xfId="176"/>
    <cellStyle name="Normal 2 2 2 9" xfId="177"/>
    <cellStyle name="Normal 2 2 2 9 2" xfId="178"/>
    <cellStyle name="Normal 2 2 3" xfId="179"/>
    <cellStyle name="Normal 2 2 3 2" xfId="180"/>
    <cellStyle name="Normal 2 2 3 2 2" xfId="181"/>
    <cellStyle name="Normal 2 2 3 2 2 2" xfId="182"/>
    <cellStyle name="Normal 2 2 3 2 2 2 2" xfId="183"/>
    <cellStyle name="Normal 2 2 3 2 2 2 2 2" xfId="184"/>
    <cellStyle name="Normal 2 2 3 2 2 2 3" xfId="185"/>
    <cellStyle name="Normal 2 2 3 2 2 3" xfId="186"/>
    <cellStyle name="Normal 2 2 3 2 2 3 2" xfId="187"/>
    <cellStyle name="Normal 2 2 3 2 3" xfId="188"/>
    <cellStyle name="Normal 2 2 3 2 4" xfId="189"/>
    <cellStyle name="Normal 2 2 3 2 5" xfId="190"/>
    <cellStyle name="Normal 2 2 3 2 6" xfId="191"/>
    <cellStyle name="Normal 2 2 3 2 7" xfId="192"/>
    <cellStyle name="Normal 2 2 3 2 7 2" xfId="193"/>
    <cellStyle name="Normal 2 2 3 2 8" xfId="194"/>
    <cellStyle name="Normal 2 2 3 3" xfId="195"/>
    <cellStyle name="Normal 2 2 3 3 2" xfId="196"/>
    <cellStyle name="Normal 2 2 3 3 2 2" xfId="197"/>
    <cellStyle name="Normal 2 2 3 3 2 2 2" xfId="198"/>
    <cellStyle name="Normal 2 2 3 3 2 3" xfId="199"/>
    <cellStyle name="Normal 2 2 3 3 3" xfId="200"/>
    <cellStyle name="Normal 2 2 3 3 3 2" xfId="201"/>
    <cellStyle name="Normal 2 2 3 4" xfId="202"/>
    <cellStyle name="Normal 2 2 3 5" xfId="203"/>
    <cellStyle name="Normal 2 2 3 6" xfId="204"/>
    <cellStyle name="Normal 2 2 3 7" xfId="205"/>
    <cellStyle name="Normal 2 2 3 7 2" xfId="206"/>
    <cellStyle name="Normal 2 2 3 8" xfId="207"/>
    <cellStyle name="Normal 2 2 4" xfId="208"/>
    <cellStyle name="Normal 2 2 4 2" xfId="209"/>
    <cellStyle name="Normal 2 2 4 2 2" xfId="210"/>
    <cellStyle name="Normal 2 2 4 2 2 2" xfId="211"/>
    <cellStyle name="Normal 2 2 4 2 3" xfId="212"/>
    <cellStyle name="Normal 2 2 4 3" xfId="213"/>
    <cellStyle name="Normal 2 2 4 3 2" xfId="214"/>
    <cellStyle name="Normal 2 2 5" xfId="215"/>
    <cellStyle name="Normal 2 2 5 2" xfId="216"/>
    <cellStyle name="Normal 2 2 5 2 2" xfId="217"/>
    <cellStyle name="Normal 2 2 5 3" xfId="218"/>
    <cellStyle name="Normal 2 2 5 4" xfId="219"/>
    <cellStyle name="Normal 2 2 6" xfId="220"/>
    <cellStyle name="Normal 2 2 6 2" xfId="221"/>
    <cellStyle name="Normal 2 2 6 3" xfId="222"/>
    <cellStyle name="Normal 2 2 6 4" xfId="223"/>
    <cellStyle name="Normal 2 2 7" xfId="224"/>
    <cellStyle name="Normal 2 2 7 2" xfId="225"/>
    <cellStyle name="Normal 2 2 7 3" xfId="226"/>
    <cellStyle name="Normal 2 2 7 4" xfId="227"/>
    <cellStyle name="Normal 2 2 8" xfId="228"/>
    <cellStyle name="Normal 2 2 8 2" xfId="229"/>
    <cellStyle name="Normal 2 2 8 3" xfId="230"/>
    <cellStyle name="Normal 2 2 9" xfId="231"/>
    <cellStyle name="Normal 2 2 9 2" xfId="232"/>
    <cellStyle name="Normal 2 2 9 3" xfId="233"/>
    <cellStyle name="Normal 2 2 9 4" xfId="234"/>
    <cellStyle name="Normal 2 3" xfId="235"/>
    <cellStyle name="Normal 2 3 2" xfId="236"/>
    <cellStyle name="Normal 2 4" xfId="237"/>
    <cellStyle name="Normal 2 4 2" xfId="238"/>
    <cellStyle name="Normal 2 4 2 2" xfId="239"/>
    <cellStyle name="Normal 2 4 2 2 2" xfId="240"/>
    <cellStyle name="Normal 2 4 2 2 2 2" xfId="241"/>
    <cellStyle name="Normal 2 4 2 2 2 2 2" xfId="242"/>
    <cellStyle name="Normal 2 4 2 2 2 3" xfId="243"/>
    <cellStyle name="Normal 2 4 2 2 3" xfId="244"/>
    <cellStyle name="Normal 2 4 2 2 3 2" xfId="245"/>
    <cellStyle name="Normal 2 4 2 3" xfId="246"/>
    <cellStyle name="Normal 2 4 2 4" xfId="247"/>
    <cellStyle name="Normal 2 4 2 5" xfId="248"/>
    <cellStyle name="Normal 2 4 2 6" xfId="249"/>
    <cellStyle name="Normal 2 4 2 7" xfId="250"/>
    <cellStyle name="Normal 2 4 2 7 2" xfId="251"/>
    <cellStyle name="Normal 2 4 2 8" xfId="252"/>
    <cellStyle name="Normal 2 4 2 9" xfId="253"/>
    <cellStyle name="Normal 2 4 3" xfId="254"/>
    <cellStyle name="Normal 2 4 3 2" xfId="255"/>
    <cellStyle name="Normal 2 4 3 2 2" xfId="256"/>
    <cellStyle name="Normal 2 4 3 2 2 2" xfId="257"/>
    <cellStyle name="Normal 2 4 3 2 3" xfId="258"/>
    <cellStyle name="Normal 2 4 3 3" xfId="259"/>
    <cellStyle name="Normal 2 4 3 3 2" xfId="260"/>
    <cellStyle name="Normal 2 4 4" xfId="261"/>
    <cellStyle name="Normal 2 4 5" xfId="262"/>
    <cellStyle name="Normal 2 4 6" xfId="263"/>
    <cellStyle name="Normal 2 4 7" xfId="264"/>
    <cellStyle name="Normal 2 4 7 2" xfId="265"/>
    <cellStyle name="Normal 2 4 8" xfId="266"/>
    <cellStyle name="Normal 2 5" xfId="267"/>
    <cellStyle name="Normal 2 5 2" xfId="268"/>
    <cellStyle name="Normal 2 5 3" xfId="269"/>
    <cellStyle name="Normal 2 5 4" xfId="270"/>
    <cellStyle name="Normal 2 6" xfId="271"/>
    <cellStyle name="Normal 2 6 2" xfId="272"/>
    <cellStyle name="Normal 2 6 2 2" xfId="273"/>
    <cellStyle name="Normal 2 6 2 2 2" xfId="274"/>
    <cellStyle name="Normal 2 6 2 3" xfId="275"/>
    <cellStyle name="Normal 2 6 2 4" xfId="276"/>
    <cellStyle name="Normal 2 6 3" xfId="277"/>
    <cellStyle name="Normal 2 6 3 2" xfId="278"/>
    <cellStyle name="Normal 2 7" xfId="279"/>
    <cellStyle name="Normal 2 7 2" xfId="280"/>
    <cellStyle name="Normal 2 7 2 2" xfId="281"/>
    <cellStyle name="Normal 2 7 3" xfId="282"/>
    <cellStyle name="Normal 2 7 4" xfId="283"/>
    <cellStyle name="Normal 2 7 5" xfId="284"/>
    <cellStyle name="Normal 2 7 6" xfId="285"/>
    <cellStyle name="Normal 2 8" xfId="286"/>
    <cellStyle name="Normal 2 8 2" xfId="287"/>
    <cellStyle name="Normal 2 8 3" xfId="288"/>
    <cellStyle name="Normal 2 9" xfId="289"/>
    <cellStyle name="Normal 20" xfId="290"/>
    <cellStyle name="Normal 20 2" xfId="291"/>
    <cellStyle name="Normal 21" xfId="292"/>
    <cellStyle name="Normal 22" xfId="293"/>
    <cellStyle name="Normal 22 2" xfId="294"/>
    <cellStyle name="Normal 23" xfId="295"/>
    <cellStyle name="Normal 24" xfId="296"/>
    <cellStyle name="Normal 24 2" xfId="297"/>
    <cellStyle name="Normal 27" xfId="298"/>
    <cellStyle name="Normal 3" xfId="299"/>
    <cellStyle name="Normal 3 10" xfId="300"/>
    <cellStyle name="Normal 3 11" xfId="301"/>
    <cellStyle name="Normal 3 12" xfId="302"/>
    <cellStyle name="Normal 3 2" xfId="303"/>
    <cellStyle name="Normal 3 2 10" xfId="304"/>
    <cellStyle name="Normal 3 2 11" xfId="305"/>
    <cellStyle name="Normal 3 2 2" xfId="306"/>
    <cellStyle name="Normal 3 2 2 2" xfId="307"/>
    <cellStyle name="Normal 3 2 2 2 2" xfId="308"/>
    <cellStyle name="Normal 3 2 2 2 2 2" xfId="309"/>
    <cellStyle name="Normal 3 2 2 2 2 2 2" xfId="310"/>
    <cellStyle name="Normal 3 2 2 2 2 2 2 2" xfId="311"/>
    <cellStyle name="Normal 3 2 2 2 2 2 3" xfId="312"/>
    <cellStyle name="Normal 3 2 2 2 2 3" xfId="313"/>
    <cellStyle name="Normal 3 2 2 2 2 3 2" xfId="314"/>
    <cellStyle name="Normal 3 2 2 2 3" xfId="315"/>
    <cellStyle name="Normal 3 2 2 2 4" xfId="316"/>
    <cellStyle name="Normal 3 2 2 2 5" xfId="317"/>
    <cellStyle name="Normal 3 2 2 2 6" xfId="318"/>
    <cellStyle name="Normal 3 2 2 2 7" xfId="319"/>
    <cellStyle name="Normal 3 2 2 2 7 2" xfId="320"/>
    <cellStyle name="Normal 3 2 2 2 8" xfId="321"/>
    <cellStyle name="Normal 3 2 2 3" xfId="322"/>
    <cellStyle name="Normal 3 2 2 3 2" xfId="323"/>
    <cellStyle name="Normal 3 2 2 3 2 2" xfId="324"/>
    <cellStyle name="Normal 3 2 2 3 2 2 2" xfId="325"/>
    <cellStyle name="Normal 3 2 2 3 2 3" xfId="326"/>
    <cellStyle name="Normal 3 2 2 3 3" xfId="327"/>
    <cellStyle name="Normal 3 2 2 3 3 2" xfId="328"/>
    <cellStyle name="Normal 3 2 2 4" xfId="329"/>
    <cellStyle name="Normal 3 2 2 5" xfId="330"/>
    <cellStyle name="Normal 3 2 2 6" xfId="331"/>
    <cellStyle name="Normal 3 2 2 7" xfId="332"/>
    <cellStyle name="Normal 3 2 2 7 2" xfId="333"/>
    <cellStyle name="Normal 3 2 2 8" xfId="334"/>
    <cellStyle name="Normal 3 2 2 9" xfId="335"/>
    <cellStyle name="Normal 3 2 3" xfId="336"/>
    <cellStyle name="Normal 3 2 4" xfId="337"/>
    <cellStyle name="Normal 3 2 4 2" xfId="338"/>
    <cellStyle name="Normal 3 2 4 2 2" xfId="339"/>
    <cellStyle name="Normal 3 2 4 2 2 2" xfId="340"/>
    <cellStyle name="Normal 3 2 4 2 3" xfId="341"/>
    <cellStyle name="Normal 3 2 4 3" xfId="342"/>
    <cellStyle name="Normal 3 2 4 3 2" xfId="343"/>
    <cellStyle name="Normal 3 2 5" xfId="344"/>
    <cellStyle name="Normal 3 2 6" xfId="345"/>
    <cellStyle name="Normal 3 2 7" xfId="346"/>
    <cellStyle name="Normal 3 2 8" xfId="347"/>
    <cellStyle name="Normal 3 2 9" xfId="348"/>
    <cellStyle name="Normal 3 2 9 2" xfId="349"/>
    <cellStyle name="Normal 3 3" xfId="350"/>
    <cellStyle name="Normal 3 3 2" xfId="351"/>
    <cellStyle name="Normal 3 3 2 2" xfId="352"/>
    <cellStyle name="Normal 3 3 2 2 2" xfId="353"/>
    <cellStyle name="Normal 3 3 2 2 2 2" xfId="354"/>
    <cellStyle name="Normal 3 3 2 2 2 2 2" xfId="355"/>
    <cellStyle name="Normal 3 3 2 2 2 3" xfId="356"/>
    <cellStyle name="Normal 3 3 2 2 3" xfId="357"/>
    <cellStyle name="Normal 3 3 2 2 3 2" xfId="358"/>
    <cellStyle name="Normal 3 3 2 3" xfId="359"/>
    <cellStyle name="Normal 3 3 2 4" xfId="360"/>
    <cellStyle name="Normal 3 3 2 5" xfId="361"/>
    <cellStyle name="Normal 3 3 2 6" xfId="362"/>
    <cellStyle name="Normal 3 3 2 7" xfId="363"/>
    <cellStyle name="Normal 3 3 2 7 2" xfId="364"/>
    <cellStyle name="Normal 3 3 2 8" xfId="365"/>
    <cellStyle name="Normal 3 3 2 9" xfId="366"/>
    <cellStyle name="Normal 3 3 3" xfId="367"/>
    <cellStyle name="Normal 3 3 3 2" xfId="368"/>
    <cellStyle name="Normal 3 3 3 2 2" xfId="369"/>
    <cellStyle name="Normal 3 3 3 2 2 2" xfId="370"/>
    <cellStyle name="Normal 3 3 3 2 3" xfId="371"/>
    <cellStyle name="Normal 3 3 3 3" xfId="372"/>
    <cellStyle name="Normal 3 3 3 3 2" xfId="373"/>
    <cellStyle name="Normal 3 3 4" xfId="374"/>
    <cellStyle name="Normal 3 3 5" xfId="375"/>
    <cellStyle name="Normal 3 3 6" xfId="376"/>
    <cellStyle name="Normal 3 3 7" xfId="377"/>
    <cellStyle name="Normal 3 3 7 2" xfId="378"/>
    <cellStyle name="Normal 3 3 8" xfId="379"/>
    <cellStyle name="Normal 3 3 9" xfId="380"/>
    <cellStyle name="Normal 3 4" xfId="381"/>
    <cellStyle name="Normal 3 4 2" xfId="382"/>
    <cellStyle name="Normal 3 4 2 2" xfId="383"/>
    <cellStyle name="Normal 3 4 2 2 2" xfId="384"/>
    <cellStyle name="Normal 3 4 2 3" xfId="385"/>
    <cellStyle name="Normal 3 4 3" xfId="386"/>
    <cellStyle name="Normal 3 4 3 2" xfId="387"/>
    <cellStyle name="Normal 3 5" xfId="388"/>
    <cellStyle name="Normal 3 6" xfId="389"/>
    <cellStyle name="Normal 3 7" xfId="390"/>
    <cellStyle name="Normal 3 8" xfId="391"/>
    <cellStyle name="Normal 3 9" xfId="392"/>
    <cellStyle name="Normal 3 9 2" xfId="393"/>
    <cellStyle name="Normal 4" xfId="394"/>
    <cellStyle name="Normal 4 2" xfId="395"/>
    <cellStyle name="Normal 4 2 2" xfId="396"/>
    <cellStyle name="Normal 4 2 2 2" xfId="397"/>
    <cellStyle name="Normal 4 2 2 2 2" xfId="398"/>
    <cellStyle name="Normal 4 2 2 3" xfId="399"/>
    <cellStyle name="Normal 4 2 2 4" xfId="400"/>
    <cellStyle name="Normal 4 2 2 5" xfId="401"/>
    <cellStyle name="Normal 4 2 3" xfId="402"/>
    <cellStyle name="Normal 4 2 4" xfId="403"/>
    <cellStyle name="Normal 4 2 5" xfId="404"/>
    <cellStyle name="Normal 4 2 5 2" xfId="405"/>
    <cellStyle name="Normal 4 2 6" xfId="406"/>
    <cellStyle name="Normal 4 2 7" xfId="407"/>
    <cellStyle name="Normal 4 2 8" xfId="408"/>
    <cellStyle name="Normal 4 3" xfId="409"/>
    <cellStyle name="Normal 4 3 2" xfId="410"/>
    <cellStyle name="Normal 4 3 2 2" xfId="411"/>
    <cellStyle name="Normal 4 3 3" xfId="412"/>
    <cellStyle name="Normal 4 3 4" xfId="413"/>
    <cellStyle name="Normal 4 3 5" xfId="414"/>
    <cellStyle name="Normal 4 3 6" xfId="415"/>
    <cellStyle name="Normal 4 4" xfId="416"/>
    <cellStyle name="Normal 4 5" xfId="417"/>
    <cellStyle name="Normal 4 5 2" xfId="418"/>
    <cellStyle name="Normal 4 6" xfId="419"/>
    <cellStyle name="Normal 4 7" xfId="420"/>
    <cellStyle name="Normal 4 8" xfId="421"/>
    <cellStyle name="Normal 4 9" xfId="422"/>
    <cellStyle name="Normal 5" xfId="423"/>
    <cellStyle name="Normal 5 2" xfId="424"/>
    <cellStyle name="Normal 5 2 2" xfId="425"/>
    <cellStyle name="Normal 5 3" xfId="426"/>
    <cellStyle name="Normal 6" xfId="427"/>
    <cellStyle name="Normal 6 10" xfId="428"/>
    <cellStyle name="Normal 6 2" xfId="429"/>
    <cellStyle name="Normal 6 2 2" xfId="430"/>
    <cellStyle name="Normal 6 3" xfId="431"/>
    <cellStyle name="Normal 6 4" xfId="432"/>
    <cellStyle name="Normal 6 5" xfId="433"/>
    <cellStyle name="Normal 6 6" xfId="434"/>
    <cellStyle name="Normal 6 7" xfId="435"/>
    <cellStyle name="Normal 6 8" xfId="436"/>
    <cellStyle name="Normal 6 9" xfId="437"/>
    <cellStyle name="Normal 7" xfId="438"/>
    <cellStyle name="Normal 7 10" xfId="439"/>
    <cellStyle name="Normal 7 11" xfId="440"/>
    <cellStyle name="Normal 7 2" xfId="441"/>
    <cellStyle name="Normal 7 2 2" xfId="442"/>
    <cellStyle name="Normal 7 2 2 2" xfId="443"/>
    <cellStyle name="Normal 7 2 2 2 2" xfId="444"/>
    <cellStyle name="Normal 7 2 2 2 2 2" xfId="445"/>
    <cellStyle name="Normal 7 2 2 2 3" xfId="446"/>
    <cellStyle name="Normal 7 2 2 3" xfId="447"/>
    <cellStyle name="Normal 7 2 2 3 2" xfId="448"/>
    <cellStyle name="Normal 7 2 3" xfId="449"/>
    <cellStyle name="Normal 7 2 4" xfId="450"/>
    <cellStyle name="Normal 7 2 5" xfId="451"/>
    <cellStyle name="Normal 7 2 6" xfId="452"/>
    <cellStyle name="Normal 7 2 7" xfId="453"/>
    <cellStyle name="Normal 7 2 7 2" xfId="454"/>
    <cellStyle name="Normal 7 2 8" xfId="455"/>
    <cellStyle name="Normal 7 3" xfId="456"/>
    <cellStyle name="Normal 7 3 2" xfId="457"/>
    <cellStyle name="Normal 7 3 2 2" xfId="458"/>
    <cellStyle name="Normal 7 3 2 2 2" xfId="459"/>
    <cellStyle name="Normal 7 3 2 3" xfId="460"/>
    <cellStyle name="Normal 7 3 3" xfId="461"/>
    <cellStyle name="Normal 7 3 3 2" xfId="462"/>
    <cellStyle name="Normal 7 3 4" xfId="463"/>
    <cellStyle name="Normal 7 3 5" xfId="464"/>
    <cellStyle name="Normal 7 4" xfId="465"/>
    <cellStyle name="Normal 7 4 2" xfId="466"/>
    <cellStyle name="Normal 7 4 3" xfId="467"/>
    <cellStyle name="Normal 7 5" xfId="468"/>
    <cellStyle name="Normal 7 5 2" xfId="469"/>
    <cellStyle name="Normal 7 5 3" xfId="470"/>
    <cellStyle name="Normal 7 5 4" xfId="471"/>
    <cellStyle name="Normal 7 6" xfId="472"/>
    <cellStyle name="Normal 7 7" xfId="473"/>
    <cellStyle name="Normal 7 7 2" xfId="474"/>
    <cellStyle name="Normal 7 8" xfId="475"/>
    <cellStyle name="Normal 7 9" xfId="476"/>
    <cellStyle name="Normal 8" xfId="477"/>
    <cellStyle name="Normal 8 2" xfId="478"/>
    <cellStyle name="Normal 8 2 2" xfId="479"/>
    <cellStyle name="Normal 8 2 2 2" xfId="480"/>
    <cellStyle name="Normal 8 2 3" xfId="481"/>
    <cellStyle name="Normal 8 2 4" xfId="482"/>
    <cellStyle name="Normal 8 3" xfId="483"/>
    <cellStyle name="Normal 8 3 2" xfId="484"/>
    <cellStyle name="Normal 8 3 3" xfId="485"/>
    <cellStyle name="Normal 8 4" xfId="486"/>
    <cellStyle name="Normal 9" xfId="487"/>
    <cellStyle name="Normal 9 2" xfId="488"/>
    <cellStyle name="Normal 9 3" xfId="489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84"/>
  <sheetViews>
    <sheetView workbookViewId="0">
      <pane xSplit="2" ySplit="11" topLeftCell="J66" activePane="bottomRight" state="frozen"/>
      <selection pane="topRight" activeCell="C1" sqref="C1"/>
      <selection pane="bottomLeft" activeCell="A12" sqref="A12"/>
      <selection pane="bottomRight" activeCell="L91" sqref="L91"/>
    </sheetView>
  </sheetViews>
  <sheetFormatPr baseColWidth="10" defaultRowHeight="15.75"/>
  <cols>
    <col min="1" max="1" width="5.85546875" style="2" customWidth="1"/>
    <col min="2" max="2" width="14" style="1" customWidth="1"/>
    <col min="3" max="3" width="9.85546875" style="1" customWidth="1"/>
    <col min="4" max="4" width="9" style="124" customWidth="1"/>
    <col min="5" max="5" width="9.85546875" style="124" customWidth="1"/>
    <col min="6" max="6" width="10.140625" style="124" customWidth="1"/>
    <col min="7" max="7" width="2.5703125" style="124" customWidth="1"/>
    <col min="8" max="8" width="10.140625" style="124" customWidth="1"/>
    <col min="9" max="9" width="8.85546875" style="124" customWidth="1"/>
    <col min="10" max="10" width="7.85546875" style="124" customWidth="1"/>
    <col min="11" max="11" width="8.7109375" style="124" customWidth="1"/>
    <col min="12" max="12" width="10.5703125" style="124" customWidth="1"/>
    <col min="13" max="13" width="9.28515625" style="124" customWidth="1"/>
    <col min="14" max="14" width="10" style="124" customWidth="1"/>
    <col min="15" max="15" width="3.42578125" style="124" hidden="1" customWidth="1"/>
    <col min="16" max="16" width="10.42578125" style="124" customWidth="1"/>
    <col min="17" max="17" width="9.5703125" style="124" customWidth="1"/>
    <col min="18" max="18" width="10.85546875" style="124" customWidth="1"/>
    <col min="19" max="19" width="4.28515625" style="124" customWidth="1"/>
    <col min="20" max="20" width="11.42578125" style="1"/>
    <col min="21" max="21" width="8.28515625" style="32" customWidth="1"/>
    <col min="22" max="22" width="19" style="32" customWidth="1"/>
    <col min="23" max="23" width="7" style="32" bestFit="1" customWidth="1"/>
    <col min="24" max="24" width="17.42578125" style="32" bestFit="1" customWidth="1"/>
    <col min="25" max="25" width="27.140625" style="32" bestFit="1" customWidth="1"/>
    <col min="26" max="26" width="14.28515625" style="97" bestFit="1" customWidth="1"/>
    <col min="27" max="27" width="18.42578125" style="29" bestFit="1" customWidth="1"/>
    <col min="28" max="28" width="20" style="29" bestFit="1" customWidth="1"/>
    <col min="29" max="29" width="20.85546875" style="29" bestFit="1" customWidth="1"/>
    <col min="30" max="30" width="20.140625" style="30" bestFit="1" customWidth="1"/>
    <col min="31" max="31" width="20.85546875" style="29" bestFit="1" customWidth="1"/>
    <col min="32" max="32" width="8.7109375" style="87" bestFit="1" customWidth="1"/>
    <col min="33" max="33" width="13.28515625" style="29" bestFit="1" customWidth="1"/>
    <col min="34" max="34" width="9.42578125" style="29" bestFit="1" customWidth="1"/>
    <col min="35" max="35" width="9.28515625" style="29" bestFit="1" customWidth="1"/>
    <col min="36" max="36" width="20" style="29" bestFit="1" customWidth="1"/>
    <col min="37" max="37" width="11.85546875" style="29" bestFit="1" customWidth="1"/>
    <col min="38" max="38" width="18.5703125" style="30" bestFit="1" customWidth="1"/>
    <col min="39" max="39" width="20.85546875" style="29" bestFit="1" customWidth="1"/>
    <col min="40" max="40" width="15.42578125" style="30" bestFit="1" customWidth="1"/>
    <col min="41" max="41" width="21.5703125" style="29" bestFit="1" customWidth="1"/>
    <col min="42" max="42" width="15.7109375" style="29" bestFit="1" customWidth="1"/>
    <col min="43" max="43" width="10.7109375" style="30" bestFit="1" customWidth="1"/>
    <col min="44" max="44" width="14.28515625" style="31" bestFit="1" customWidth="1"/>
    <col min="45" max="45" width="11.42578125" style="31" bestFit="1" customWidth="1"/>
    <col min="46" max="46" width="14.140625" style="32" bestFit="1" customWidth="1"/>
    <col min="47" max="47" width="15.5703125" style="32" bestFit="1" customWidth="1"/>
    <col min="48" max="48" width="113.140625" style="32" bestFit="1" customWidth="1"/>
    <col min="49" max="16384" width="11.42578125" style="1"/>
  </cols>
  <sheetData>
    <row r="1" spans="1:62" ht="12.75" customHeight="1">
      <c r="A1" s="3" t="s">
        <v>0</v>
      </c>
      <c r="B1" s="122" t="s">
        <v>139</v>
      </c>
      <c r="D1" s="151"/>
      <c r="E1" s="131" t="s">
        <v>306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U1" s="18" t="s">
        <v>140</v>
      </c>
      <c r="V1" s="18"/>
      <c r="W1" s="18"/>
      <c r="X1" s="18"/>
      <c r="Y1" s="19"/>
      <c r="Z1" s="96"/>
      <c r="AA1" s="20"/>
      <c r="AB1" s="20"/>
      <c r="AC1" s="20"/>
      <c r="AD1" s="21"/>
      <c r="AE1" s="20"/>
      <c r="AF1" s="20"/>
      <c r="AG1" s="20"/>
      <c r="AH1" s="20"/>
      <c r="AI1" s="20"/>
      <c r="AJ1" s="20"/>
      <c r="AK1" s="20"/>
      <c r="AL1" s="21"/>
      <c r="AM1" s="20"/>
      <c r="AN1" s="21"/>
      <c r="AO1" s="20"/>
      <c r="AP1" s="20"/>
      <c r="AQ1" s="21"/>
      <c r="AR1" s="22"/>
      <c r="AS1" s="22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ht="12.75" customHeight="1">
      <c r="A2" s="4" t="s">
        <v>1</v>
      </c>
      <c r="B2" s="229" t="s">
        <v>2</v>
      </c>
      <c r="D2" s="170"/>
      <c r="E2" s="131" t="s">
        <v>307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U2" s="24" t="s">
        <v>141</v>
      </c>
      <c r="V2" s="24"/>
      <c r="W2" s="24"/>
      <c r="X2" s="24"/>
      <c r="Y2" s="25"/>
      <c r="Z2" s="96"/>
      <c r="AA2" s="20"/>
      <c r="AB2" s="20"/>
      <c r="AC2" s="20"/>
      <c r="AD2" s="21"/>
      <c r="AE2" s="20" t="s">
        <v>142</v>
      </c>
      <c r="AF2" s="20"/>
      <c r="AG2" s="20"/>
      <c r="AH2" s="20"/>
      <c r="AI2" s="20"/>
      <c r="AJ2" s="20"/>
      <c r="AK2" s="20"/>
      <c r="AL2" s="21"/>
      <c r="AM2" s="20"/>
      <c r="AN2" s="21"/>
      <c r="AO2" s="20"/>
      <c r="AP2" s="20"/>
      <c r="AQ2" s="21"/>
      <c r="AR2" s="22"/>
      <c r="AS2" s="22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</row>
    <row r="3" spans="1:62" ht="12.75" customHeight="1">
      <c r="B3" s="228" t="s">
        <v>3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U3" s="26" t="s">
        <v>313</v>
      </c>
      <c r="V3" s="26" t="s">
        <v>314</v>
      </c>
      <c r="W3" s="26"/>
      <c r="X3" s="26"/>
      <c r="Y3" s="27"/>
      <c r="Z3" s="96"/>
      <c r="AA3" s="20"/>
      <c r="AB3" s="20"/>
      <c r="AC3" s="20"/>
      <c r="AD3" s="21"/>
      <c r="AE3" s="20"/>
      <c r="AF3" s="20"/>
      <c r="AG3" s="20"/>
      <c r="AH3" s="20"/>
      <c r="AI3" s="20"/>
      <c r="AJ3" s="20"/>
      <c r="AK3" s="20"/>
      <c r="AL3" s="21"/>
      <c r="AM3" s="20"/>
      <c r="AN3" s="21"/>
      <c r="AO3" s="20"/>
      <c r="AP3" s="20"/>
      <c r="AQ3" s="21"/>
      <c r="AR3" s="22"/>
      <c r="AS3" s="22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</row>
    <row r="4" spans="1:62" ht="12.75" customHeight="1">
      <c r="A4" s="226"/>
      <c r="B4" s="227" t="s">
        <v>321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U4" s="26"/>
      <c r="V4" s="26"/>
      <c r="W4" s="26"/>
      <c r="X4" s="26"/>
      <c r="Y4" s="27"/>
      <c r="Z4" s="96"/>
      <c r="AA4" s="20"/>
      <c r="AB4" s="20"/>
      <c r="AC4" s="20"/>
      <c r="AD4" s="21"/>
      <c r="AE4" s="20"/>
      <c r="AF4" s="20"/>
      <c r="AG4" s="20"/>
      <c r="AH4" s="20"/>
      <c r="AI4" s="20"/>
      <c r="AJ4" s="20"/>
      <c r="AK4" s="20"/>
      <c r="AL4" s="21"/>
      <c r="AM4" s="20"/>
      <c r="AN4" s="21"/>
      <c r="AO4" s="20"/>
      <c r="AP4" s="20"/>
      <c r="AQ4" s="21"/>
      <c r="AR4" s="22"/>
      <c r="AS4" s="22"/>
      <c r="AT4" s="23"/>
      <c r="AU4" s="23"/>
      <c r="AV4" s="23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2.75" customHeight="1">
      <c r="B5" s="6" t="s">
        <v>5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U5" s="28"/>
      <c r="V5" s="28"/>
      <c r="W5" s="28"/>
      <c r="X5" s="28"/>
      <c r="Y5" s="28"/>
      <c r="AV5" s="28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</row>
    <row r="6" spans="1:62" ht="12.75" customHeight="1">
      <c r="B6" s="6" t="s">
        <v>6</v>
      </c>
      <c r="D6" s="131"/>
      <c r="E6" s="131"/>
      <c r="F6" s="131"/>
      <c r="G6" s="131"/>
      <c r="H6" s="261" t="s">
        <v>295</v>
      </c>
      <c r="I6" s="261"/>
      <c r="J6" s="261"/>
      <c r="K6" s="261"/>
      <c r="L6" s="261"/>
      <c r="M6" s="261"/>
      <c r="N6" s="261"/>
      <c r="O6" s="261"/>
      <c r="P6" s="261"/>
      <c r="Q6" s="261"/>
      <c r="R6" s="261"/>
      <c r="U6" s="262" t="s">
        <v>143</v>
      </c>
      <c r="V6" s="262" t="s">
        <v>144</v>
      </c>
      <c r="W6" s="262" t="s">
        <v>145</v>
      </c>
      <c r="X6" s="34"/>
      <c r="Y6" s="262" t="s">
        <v>146</v>
      </c>
      <c r="Z6" s="98"/>
      <c r="AA6" s="253" t="s">
        <v>147</v>
      </c>
      <c r="AB6" s="253" t="s">
        <v>148</v>
      </c>
      <c r="AC6" s="253" t="s">
        <v>149</v>
      </c>
      <c r="AD6" s="253" t="s">
        <v>150</v>
      </c>
      <c r="AE6" s="253" t="s">
        <v>151</v>
      </c>
      <c r="AF6" s="35"/>
      <c r="AG6" s="253" t="s">
        <v>152</v>
      </c>
      <c r="AH6" s="253" t="s">
        <v>153</v>
      </c>
      <c r="AI6" s="253" t="s">
        <v>154</v>
      </c>
      <c r="AJ6" s="253" t="s">
        <v>18</v>
      </c>
      <c r="AK6" s="253" t="s">
        <v>155</v>
      </c>
      <c r="AL6" s="253" t="s">
        <v>156</v>
      </c>
      <c r="AM6" s="253" t="s">
        <v>157</v>
      </c>
      <c r="AN6" s="253" t="s">
        <v>158</v>
      </c>
      <c r="AO6" s="253" t="s">
        <v>159</v>
      </c>
      <c r="AP6" s="253" t="s">
        <v>160</v>
      </c>
      <c r="AQ6" s="253" t="s">
        <v>161</v>
      </c>
      <c r="AR6" s="259" t="s">
        <v>162</v>
      </c>
      <c r="AS6" s="260"/>
      <c r="AT6" s="255" t="s">
        <v>163</v>
      </c>
      <c r="AU6" s="36"/>
      <c r="AV6" s="36" t="s">
        <v>164</v>
      </c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</row>
    <row r="7" spans="1:62" ht="12.75" customHeight="1">
      <c r="D7" s="131"/>
      <c r="E7" s="131"/>
      <c r="F7" s="131"/>
      <c r="G7" s="131"/>
      <c r="H7" s="256" t="s">
        <v>296</v>
      </c>
      <c r="I7" s="257"/>
      <c r="J7" s="257"/>
      <c r="K7" s="257"/>
      <c r="L7" s="257"/>
      <c r="M7" s="257"/>
      <c r="N7" s="258"/>
      <c r="O7" s="131"/>
      <c r="P7" s="256" t="s">
        <v>297</v>
      </c>
      <c r="Q7" s="257"/>
      <c r="R7" s="258"/>
      <c r="U7" s="263"/>
      <c r="V7" s="263"/>
      <c r="W7" s="263"/>
      <c r="X7" s="121" t="s">
        <v>165</v>
      </c>
      <c r="Y7" s="263"/>
      <c r="Z7" s="99" t="s">
        <v>166</v>
      </c>
      <c r="AA7" s="254"/>
      <c r="AB7" s="254"/>
      <c r="AC7" s="254"/>
      <c r="AD7" s="254"/>
      <c r="AE7" s="254"/>
      <c r="AF7" s="38" t="s">
        <v>167</v>
      </c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39" t="s">
        <v>168</v>
      </c>
      <c r="AS7" s="39" t="s">
        <v>169</v>
      </c>
      <c r="AT7" s="253"/>
      <c r="AU7" s="36" t="s">
        <v>170</v>
      </c>
      <c r="AV7" s="36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1:62" s="5" customFormat="1" ht="27" customHeight="1" thickBot="1">
      <c r="A8" s="8" t="s">
        <v>7</v>
      </c>
      <c r="B8" s="9" t="s">
        <v>8</v>
      </c>
      <c r="C8" s="123" t="s">
        <v>11</v>
      </c>
      <c r="D8" s="138" t="s">
        <v>10</v>
      </c>
      <c r="E8" s="138" t="s">
        <v>298</v>
      </c>
      <c r="F8" s="139" t="s">
        <v>11</v>
      </c>
      <c r="G8" s="131"/>
      <c r="H8" s="140" t="s">
        <v>11</v>
      </c>
      <c r="I8" s="140" t="s">
        <v>299</v>
      </c>
      <c r="J8" s="140" t="s">
        <v>300</v>
      </c>
      <c r="K8" s="140" t="s">
        <v>301</v>
      </c>
      <c r="L8" s="140" t="s">
        <v>302</v>
      </c>
      <c r="M8" s="140" t="s">
        <v>303</v>
      </c>
      <c r="N8" s="140" t="s">
        <v>304</v>
      </c>
      <c r="O8" s="135"/>
      <c r="P8" s="140" t="s">
        <v>305</v>
      </c>
      <c r="Q8" s="140" t="s">
        <v>303</v>
      </c>
      <c r="R8" s="140" t="s">
        <v>304</v>
      </c>
      <c r="S8" s="125"/>
      <c r="U8" s="207"/>
      <c r="V8" s="207"/>
      <c r="W8" s="207"/>
      <c r="X8" s="207"/>
      <c r="Y8" s="207"/>
      <c r="Z8" s="208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10"/>
      <c r="AS8" s="210"/>
      <c r="AT8" s="209"/>
      <c r="AU8" s="209"/>
      <c r="AV8" s="209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1:62" ht="8.25" customHeight="1" thickTop="1">
      <c r="A9" s="11" t="s">
        <v>21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U9" s="207"/>
      <c r="V9" s="207"/>
      <c r="W9" s="207"/>
      <c r="X9" s="207"/>
      <c r="Y9" s="207"/>
      <c r="Z9" s="208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10"/>
      <c r="AS9" s="210"/>
      <c r="AT9" s="209"/>
      <c r="AU9" s="209"/>
      <c r="AV9" s="209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</row>
    <row r="10" spans="1:62" ht="8.25" customHeight="1"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U10" s="207"/>
      <c r="V10" s="207"/>
      <c r="W10" s="207"/>
      <c r="X10" s="207"/>
      <c r="Y10" s="207"/>
      <c r="Z10" s="208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10"/>
      <c r="AS10" s="210"/>
      <c r="AT10" s="209"/>
      <c r="AU10" s="209"/>
      <c r="AV10" s="209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62" ht="8.25" customHeight="1">
      <c r="A11" s="10" t="s">
        <v>22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U11" s="207" t="s">
        <v>344</v>
      </c>
      <c r="V11" s="207"/>
      <c r="W11" s="207"/>
      <c r="X11" s="207"/>
      <c r="Y11" s="207"/>
      <c r="Z11" s="208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10"/>
      <c r="AS11" s="210"/>
      <c r="AT11" s="209"/>
      <c r="AU11" s="209"/>
      <c r="AV11" s="209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</row>
    <row r="12" spans="1:62">
      <c r="A12" s="2" t="s">
        <v>23</v>
      </c>
      <c r="B12" s="1" t="s">
        <v>24</v>
      </c>
      <c r="C12" s="12">
        <f>+FISCAL!H12</f>
        <v>2750.1</v>
      </c>
      <c r="D12" s="136">
        <v>0</v>
      </c>
      <c r="E12" s="136">
        <f>+Z12</f>
        <v>12740.87</v>
      </c>
      <c r="F12" s="136">
        <f>SUM(C12:E12)</f>
        <v>15490.970000000001</v>
      </c>
      <c r="G12" s="131"/>
      <c r="H12" s="136">
        <f>+C12</f>
        <v>2750.1</v>
      </c>
      <c r="I12" s="141">
        <f>-FISCAL!O12-AJ12</f>
        <v>-45.13</v>
      </c>
      <c r="J12" s="141">
        <f>+C12*0.02</f>
        <v>55.002000000000002</v>
      </c>
      <c r="K12" s="141">
        <f>+C12*7.5%</f>
        <v>206.25749999999999</v>
      </c>
      <c r="L12" s="136">
        <f>SUM(H12:K12)</f>
        <v>2966.2294999999999</v>
      </c>
      <c r="M12" s="141">
        <f>+L12*0.16</f>
        <v>474.59672</v>
      </c>
      <c r="N12" s="141">
        <f>+L12+M12</f>
        <v>3440.8262199999999</v>
      </c>
      <c r="O12" s="131"/>
      <c r="P12" s="136">
        <f>+E12</f>
        <v>12740.87</v>
      </c>
      <c r="Q12" s="142">
        <f>+P12*0.16</f>
        <v>2038.5392000000002</v>
      </c>
      <c r="R12" s="142">
        <f>+P12+Q12</f>
        <v>14779.409200000002</v>
      </c>
      <c r="S12" s="126"/>
      <c r="T12" s="1" t="str">
        <f>IF(B12=V12,"SI","NO")</f>
        <v>SI</v>
      </c>
      <c r="U12" s="40" t="s">
        <v>171</v>
      </c>
      <c r="V12" s="40" t="s">
        <v>172</v>
      </c>
      <c r="W12" s="42"/>
      <c r="X12" s="43">
        <v>42632</v>
      </c>
      <c r="Y12" s="40" t="s">
        <v>173</v>
      </c>
      <c r="Z12" s="177">
        <v>12740.87</v>
      </c>
      <c r="AA12" s="62"/>
      <c r="AB12" s="45"/>
      <c r="AC12" s="46"/>
      <c r="AD12" s="50">
        <f t="shared" ref="AD12:AD42" si="0">SUM(Z12:AB12)-AC12</f>
        <v>12740.87</v>
      </c>
      <c r="AE12" s="57"/>
      <c r="AF12" s="88"/>
      <c r="AG12" s="47"/>
      <c r="AH12" s="47"/>
      <c r="AI12" s="47"/>
      <c r="AJ12" s="48"/>
      <c r="AK12" s="49">
        <v>3000</v>
      </c>
      <c r="AL12" s="50">
        <f>+AD12-SUM(AE12:AK12)</f>
        <v>9740.8700000000008</v>
      </c>
      <c r="AM12" s="51"/>
      <c r="AN12" s="50">
        <f>+AL12-AM12</f>
        <v>9740.8700000000008</v>
      </c>
      <c r="AO12" s="52"/>
      <c r="AP12" s="51"/>
      <c r="AQ12" s="50"/>
      <c r="AR12" s="53"/>
      <c r="AS12" s="54"/>
      <c r="AT12" s="55"/>
      <c r="AU12" s="106">
        <v>2744500016</v>
      </c>
      <c r="AV12" s="58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</row>
    <row r="13" spans="1:62">
      <c r="A13" s="2" t="s">
        <v>25</v>
      </c>
      <c r="B13" s="1" t="s">
        <v>26</v>
      </c>
      <c r="C13" s="136">
        <f>+FISCAL!H13</f>
        <v>0</v>
      </c>
      <c r="D13" s="136">
        <v>0</v>
      </c>
      <c r="E13" s="188">
        <f t="shared" ref="E13:E53" si="1">+Z13</f>
        <v>0</v>
      </c>
      <c r="F13" s="136">
        <f t="shared" ref="F13:F53" si="2">SUM(C13:E13)</f>
        <v>0</v>
      </c>
      <c r="G13" s="131"/>
      <c r="H13" s="136">
        <f t="shared" ref="H13:H53" si="3">+C13</f>
        <v>0</v>
      </c>
      <c r="I13" s="195">
        <f>-FISCAL!O13-AJ13</f>
        <v>0</v>
      </c>
      <c r="J13" s="141">
        <f t="shared" ref="J13:J53" si="4">+C13*0.02</f>
        <v>0</v>
      </c>
      <c r="K13" s="141">
        <f t="shared" ref="K13:K53" si="5">+C13*7.5%</f>
        <v>0</v>
      </c>
      <c r="L13" s="136">
        <f t="shared" ref="L13:L53" si="6">SUM(H13:K13)</f>
        <v>0</v>
      </c>
      <c r="M13" s="141">
        <f t="shared" ref="M13:M53" si="7">+L13*0.16</f>
        <v>0</v>
      </c>
      <c r="N13" s="141">
        <f t="shared" ref="N13:N53" si="8">+L13+M13</f>
        <v>0</v>
      </c>
      <c r="O13" s="131"/>
      <c r="P13" s="136">
        <f t="shared" ref="P13:P52" si="9">+E13</f>
        <v>0</v>
      </c>
      <c r="Q13" s="142">
        <f t="shared" ref="Q13:Q52" si="10">+P13*0.16</f>
        <v>0</v>
      </c>
      <c r="R13" s="142">
        <f t="shared" ref="R13:R52" si="11">+P13+Q13</f>
        <v>0</v>
      </c>
      <c r="S13" s="126"/>
      <c r="T13" s="133" t="str">
        <f t="shared" ref="T13:T53" si="12">IF(B13=V13,"SI","NO")</f>
        <v>SI</v>
      </c>
      <c r="U13" s="153" t="s">
        <v>174</v>
      </c>
      <c r="V13" s="153" t="s">
        <v>26</v>
      </c>
      <c r="W13" s="164"/>
      <c r="X13" s="154">
        <v>40691</v>
      </c>
      <c r="Y13" s="153" t="s">
        <v>175</v>
      </c>
      <c r="Z13" s="155">
        <v>0</v>
      </c>
      <c r="AA13" s="211"/>
      <c r="AB13" s="156"/>
      <c r="AC13" s="157"/>
      <c r="AD13" s="158">
        <f t="shared" si="0"/>
        <v>0</v>
      </c>
      <c r="AE13" s="156"/>
      <c r="AF13" s="212"/>
      <c r="AG13" s="159"/>
      <c r="AH13" s="159"/>
      <c r="AI13" s="159"/>
      <c r="AJ13" s="160"/>
      <c r="AK13" s="161">
        <v>0</v>
      </c>
      <c r="AL13" s="158">
        <f>+AD13-SUM(AE13:AK13)</f>
        <v>0</v>
      </c>
      <c r="AM13" s="159"/>
      <c r="AN13" s="158">
        <f>+AL13-AM13</f>
        <v>0</v>
      </c>
      <c r="AO13" s="159"/>
      <c r="AP13" s="159"/>
      <c r="AQ13" s="158"/>
      <c r="AR13" s="162"/>
      <c r="AS13" s="165"/>
      <c r="AT13" s="163"/>
      <c r="AU13" s="163"/>
      <c r="AV13" s="213" t="s">
        <v>315</v>
      </c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</row>
    <row r="14" spans="1:62">
      <c r="A14" s="2" t="s">
        <v>27</v>
      </c>
      <c r="B14" s="1" t="s">
        <v>28</v>
      </c>
      <c r="C14" s="136">
        <f>+FISCAL!H14</f>
        <v>2500.0500000000002</v>
      </c>
      <c r="D14" s="136">
        <v>0</v>
      </c>
      <c r="E14" s="188">
        <f t="shared" si="1"/>
        <v>2047.5</v>
      </c>
      <c r="F14" s="136">
        <f t="shared" si="2"/>
        <v>4547.55</v>
      </c>
      <c r="G14" s="131"/>
      <c r="H14" s="136">
        <f t="shared" si="3"/>
        <v>2500.0500000000002</v>
      </c>
      <c r="I14" s="195">
        <f>-FISCAL!O14-AJ14</f>
        <v>-45.13</v>
      </c>
      <c r="J14" s="141">
        <f t="shared" si="4"/>
        <v>50.001000000000005</v>
      </c>
      <c r="K14" s="141">
        <f t="shared" si="5"/>
        <v>187.50375</v>
      </c>
      <c r="L14" s="136">
        <f t="shared" si="6"/>
        <v>2692.4247500000001</v>
      </c>
      <c r="M14" s="141">
        <f t="shared" si="7"/>
        <v>430.78796000000006</v>
      </c>
      <c r="N14" s="141">
        <f t="shared" si="8"/>
        <v>3123.2127100000002</v>
      </c>
      <c r="O14" s="131"/>
      <c r="P14" s="136">
        <f t="shared" si="9"/>
        <v>2047.5</v>
      </c>
      <c r="Q14" s="142">
        <f t="shared" si="10"/>
        <v>327.60000000000002</v>
      </c>
      <c r="R14" s="142">
        <f t="shared" si="11"/>
        <v>2375.1</v>
      </c>
      <c r="S14" s="126"/>
      <c r="T14" s="133" t="str">
        <f t="shared" si="12"/>
        <v>SI</v>
      </c>
      <c r="U14" s="40" t="s">
        <v>176</v>
      </c>
      <c r="V14" s="40" t="s">
        <v>177</v>
      </c>
      <c r="W14" s="42"/>
      <c r="X14" s="63">
        <v>42409</v>
      </c>
      <c r="Y14" s="40" t="s">
        <v>178</v>
      </c>
      <c r="Z14" s="177">
        <v>2047.5</v>
      </c>
      <c r="AA14" s="62"/>
      <c r="AB14" s="45"/>
      <c r="AC14" s="46"/>
      <c r="AD14" s="50">
        <f t="shared" si="0"/>
        <v>2047.5</v>
      </c>
      <c r="AE14" s="57"/>
      <c r="AF14" s="89"/>
      <c r="AG14" s="47"/>
      <c r="AH14" s="47"/>
      <c r="AI14" s="47"/>
      <c r="AJ14" s="48"/>
      <c r="AK14" s="49">
        <v>0</v>
      </c>
      <c r="AL14" s="50">
        <f>+AD14-SUM(AE14:AK14)</f>
        <v>2047.5</v>
      </c>
      <c r="AM14" s="51">
        <f>IF(AD14&gt;4500,AD14*0.1,0)</f>
        <v>0</v>
      </c>
      <c r="AN14" s="50">
        <f>+AL14-AM14</f>
        <v>2047.5</v>
      </c>
      <c r="AO14" s="52">
        <f>IF(AD14&lt;4500,AD14*0.1,0)</f>
        <v>204.75</v>
      </c>
      <c r="AP14" s="51">
        <f>+'[1]C&amp;A'!X12*0.02</f>
        <v>0</v>
      </c>
      <c r="AQ14" s="50">
        <f>+AD14+AO14+AP14</f>
        <v>2252.25</v>
      </c>
      <c r="AR14" s="53"/>
      <c r="AS14" s="54"/>
      <c r="AT14" s="55">
        <f>+AR14+AS14-AN14</f>
        <v>-2047.5</v>
      </c>
      <c r="AU14" s="106"/>
      <c r="AV14" s="58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</row>
    <row r="15" spans="1:62">
      <c r="A15" s="2" t="s">
        <v>29</v>
      </c>
      <c r="B15" s="1" t="s">
        <v>30</v>
      </c>
      <c r="C15" s="136">
        <f>+FISCAL!H15</f>
        <v>3000</v>
      </c>
      <c r="D15" s="136">
        <v>0</v>
      </c>
      <c r="E15" s="188">
        <f t="shared" si="1"/>
        <v>3825</v>
      </c>
      <c r="F15" s="136">
        <f t="shared" si="2"/>
        <v>6825</v>
      </c>
      <c r="G15" s="131"/>
      <c r="H15" s="136">
        <f t="shared" si="3"/>
        <v>3000</v>
      </c>
      <c r="I15" s="195">
        <f>-FISCAL!O15-AJ15</f>
        <v>-45.13</v>
      </c>
      <c r="J15" s="141">
        <f t="shared" si="4"/>
        <v>60</v>
      </c>
      <c r="K15" s="141">
        <f t="shared" si="5"/>
        <v>225</v>
      </c>
      <c r="L15" s="136">
        <f t="shared" si="6"/>
        <v>3239.87</v>
      </c>
      <c r="M15" s="141">
        <f t="shared" si="7"/>
        <v>518.37919999999997</v>
      </c>
      <c r="N15" s="141">
        <f t="shared" si="8"/>
        <v>3758.2491999999997</v>
      </c>
      <c r="O15" s="131"/>
      <c r="P15" s="136">
        <f t="shared" si="9"/>
        <v>3825</v>
      </c>
      <c r="Q15" s="142">
        <f t="shared" si="10"/>
        <v>612</v>
      </c>
      <c r="R15" s="142">
        <f t="shared" si="11"/>
        <v>4437</v>
      </c>
      <c r="S15" s="126"/>
      <c r="T15" s="133" t="str">
        <f t="shared" si="12"/>
        <v>SI</v>
      </c>
      <c r="U15" s="40" t="s">
        <v>171</v>
      </c>
      <c r="V15" s="40" t="s">
        <v>179</v>
      </c>
      <c r="W15" s="42" t="s">
        <v>180</v>
      </c>
      <c r="X15" s="43">
        <v>42072</v>
      </c>
      <c r="Y15" s="40" t="s">
        <v>181</v>
      </c>
      <c r="Z15" s="177">
        <v>3825</v>
      </c>
      <c r="AA15" s="45"/>
      <c r="AB15" s="45"/>
      <c r="AC15" s="46"/>
      <c r="AD15" s="50">
        <f t="shared" si="0"/>
        <v>3825</v>
      </c>
      <c r="AE15" s="57"/>
      <c r="AF15" s="89"/>
      <c r="AG15" s="47"/>
      <c r="AH15" s="47"/>
      <c r="AI15" s="47"/>
      <c r="AJ15" s="48"/>
      <c r="AK15" s="49">
        <v>900</v>
      </c>
      <c r="AL15" s="50">
        <f>+AD15-SUM(AE15:AK15)</f>
        <v>2925</v>
      </c>
      <c r="AM15" s="51">
        <f>IF(AD15&gt;4500,AD15*0.1,0)</f>
        <v>0</v>
      </c>
      <c r="AN15" s="50">
        <f>+AL15-AM15</f>
        <v>2925</v>
      </c>
      <c r="AO15" s="52">
        <f>IF(AD15&lt;4500,AD15*0.1,0)</f>
        <v>382.5</v>
      </c>
      <c r="AP15" s="51">
        <f>+'[1]C&amp;A'!X14*0.02</f>
        <v>0</v>
      </c>
      <c r="AQ15" s="50">
        <f>+AD15+AO15+AP15</f>
        <v>4207.5</v>
      </c>
      <c r="AR15" s="53"/>
      <c r="AS15" s="54"/>
      <c r="AT15" s="55">
        <f>+AR15+AS15-AN15</f>
        <v>-2925</v>
      </c>
      <c r="AU15" s="55"/>
      <c r="AV15" s="58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</row>
    <row r="16" spans="1:62">
      <c r="A16" s="2" t="s">
        <v>31</v>
      </c>
      <c r="B16" s="1" t="s">
        <v>32</v>
      </c>
      <c r="C16" s="136">
        <f>+FISCAL!H16</f>
        <v>2500.0500000000002</v>
      </c>
      <c r="D16" s="136">
        <v>0</v>
      </c>
      <c r="E16" s="188">
        <f t="shared" si="1"/>
        <v>7682.82</v>
      </c>
      <c r="F16" s="136">
        <f t="shared" si="2"/>
        <v>10182.869999999999</v>
      </c>
      <c r="G16" s="131"/>
      <c r="H16" s="136">
        <f t="shared" si="3"/>
        <v>2500.0500000000002</v>
      </c>
      <c r="I16" s="195">
        <f>-FISCAL!O16-AJ16</f>
        <v>-45.13</v>
      </c>
      <c r="J16" s="141">
        <f t="shared" si="4"/>
        <v>50.001000000000005</v>
      </c>
      <c r="K16" s="141">
        <f t="shared" si="5"/>
        <v>187.50375</v>
      </c>
      <c r="L16" s="136">
        <f t="shared" si="6"/>
        <v>2692.4247500000001</v>
      </c>
      <c r="M16" s="141">
        <f t="shared" si="7"/>
        <v>430.78796000000006</v>
      </c>
      <c r="N16" s="141">
        <f t="shared" si="8"/>
        <v>3123.2127100000002</v>
      </c>
      <c r="O16" s="131"/>
      <c r="P16" s="136">
        <f t="shared" si="9"/>
        <v>7682.82</v>
      </c>
      <c r="Q16" s="142">
        <f t="shared" si="10"/>
        <v>1229.2511999999999</v>
      </c>
      <c r="R16" s="142">
        <f t="shared" si="11"/>
        <v>8912.0712000000003</v>
      </c>
      <c r="S16" s="126"/>
      <c r="T16" s="133" t="str">
        <f t="shared" si="12"/>
        <v>SI</v>
      </c>
      <c r="U16" s="40" t="s">
        <v>171</v>
      </c>
      <c r="V16" s="40" t="s">
        <v>182</v>
      </c>
      <c r="W16" s="42" t="s">
        <v>183</v>
      </c>
      <c r="X16" s="43">
        <v>42298</v>
      </c>
      <c r="Y16" s="40" t="s">
        <v>184</v>
      </c>
      <c r="Z16" s="177">
        <v>7682.82</v>
      </c>
      <c r="AA16" s="45"/>
      <c r="AB16" s="45"/>
      <c r="AC16" s="46"/>
      <c r="AD16" s="50">
        <f t="shared" si="0"/>
        <v>7682.82</v>
      </c>
      <c r="AE16" s="57"/>
      <c r="AF16" s="89"/>
      <c r="AG16" s="47"/>
      <c r="AH16" s="47"/>
      <c r="AI16" s="47"/>
      <c r="AJ16" s="48"/>
      <c r="AK16" s="49">
        <v>0</v>
      </c>
      <c r="AL16" s="50">
        <f>+AD16-SUM(AE16:AK16)</f>
        <v>7682.82</v>
      </c>
      <c r="AM16" s="51">
        <f>IF(AD16&gt;4500,AD16*0.1,0)</f>
        <v>768.28200000000004</v>
      </c>
      <c r="AN16" s="50">
        <f>+AL16-AM16</f>
        <v>6914.5379999999996</v>
      </c>
      <c r="AO16" s="52">
        <f>IF(AD16&lt;4500,AD16*0.1,0)</f>
        <v>0</v>
      </c>
      <c r="AP16" s="51">
        <f>+'[1]C&amp;A'!X15*0.02</f>
        <v>0</v>
      </c>
      <c r="AQ16" s="50">
        <f>+AD16+AO16+AP16</f>
        <v>7682.82</v>
      </c>
      <c r="AR16" s="53"/>
      <c r="AS16" s="59"/>
      <c r="AT16" s="55">
        <f>+AR16+AS16-AN16</f>
        <v>-6914.5379999999996</v>
      </c>
      <c r="AU16" s="55"/>
      <c r="AV16" s="58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</row>
    <row r="17" spans="1:62">
      <c r="A17" s="2" t="s">
        <v>33</v>
      </c>
      <c r="B17" s="1" t="s">
        <v>34</v>
      </c>
      <c r="C17" s="136">
        <f>+FISCAL!H17</f>
        <v>6500.1</v>
      </c>
      <c r="D17" s="136">
        <v>0</v>
      </c>
      <c r="E17" s="188">
        <f t="shared" si="1"/>
        <v>1000</v>
      </c>
      <c r="F17" s="136">
        <f t="shared" si="2"/>
        <v>7500.1</v>
      </c>
      <c r="G17" s="131"/>
      <c r="H17" s="136">
        <f t="shared" si="3"/>
        <v>6500.1</v>
      </c>
      <c r="I17" s="195">
        <f>-FISCAL!O17-AJ17</f>
        <v>-45.13</v>
      </c>
      <c r="J17" s="141">
        <f t="shared" si="4"/>
        <v>130.00200000000001</v>
      </c>
      <c r="K17" s="141">
        <f t="shared" si="5"/>
        <v>487.50749999999999</v>
      </c>
      <c r="L17" s="136">
        <f t="shared" si="6"/>
        <v>7072.4795000000004</v>
      </c>
      <c r="M17" s="141">
        <f t="shared" si="7"/>
        <v>1131.59672</v>
      </c>
      <c r="N17" s="141">
        <f t="shared" si="8"/>
        <v>8204.0762200000008</v>
      </c>
      <c r="O17" s="131"/>
      <c r="P17" s="136">
        <f t="shared" si="9"/>
        <v>1000</v>
      </c>
      <c r="Q17" s="142">
        <f t="shared" si="10"/>
        <v>160</v>
      </c>
      <c r="R17" s="142">
        <f t="shared" si="11"/>
        <v>1160</v>
      </c>
      <c r="S17" s="126"/>
      <c r="T17" s="133" t="str">
        <f t="shared" si="12"/>
        <v>SI</v>
      </c>
      <c r="U17" s="40" t="s">
        <v>171</v>
      </c>
      <c r="V17" s="103" t="s">
        <v>185</v>
      </c>
      <c r="W17" s="42" t="s">
        <v>186</v>
      </c>
      <c r="X17" s="43">
        <v>41939</v>
      </c>
      <c r="Y17" s="40" t="s">
        <v>187</v>
      </c>
      <c r="Z17" s="177">
        <v>1000</v>
      </c>
      <c r="AA17" s="45"/>
      <c r="AB17" s="45"/>
      <c r="AC17" s="46"/>
      <c r="AD17" s="50">
        <f t="shared" si="0"/>
        <v>1000</v>
      </c>
      <c r="AE17" s="57"/>
      <c r="AF17" s="89"/>
      <c r="AG17" s="47"/>
      <c r="AH17" s="47"/>
      <c r="AI17" s="47"/>
      <c r="AJ17" s="48"/>
      <c r="AK17" s="49">
        <v>0</v>
      </c>
      <c r="AL17" s="50">
        <f t="shared" ref="AL17:AL43" si="13">+AD17-SUM(AE17:AK17)</f>
        <v>1000</v>
      </c>
      <c r="AM17" s="51"/>
      <c r="AN17" s="50">
        <f t="shared" ref="AN17:AN43" si="14">+AL17-AM17</f>
        <v>1000</v>
      </c>
      <c r="AO17" s="52"/>
      <c r="AP17" s="51"/>
      <c r="AQ17" s="50"/>
      <c r="AR17" s="53"/>
      <c r="AS17" s="59"/>
      <c r="AT17" s="55"/>
      <c r="AU17" s="55"/>
      <c r="AV17" s="58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</row>
    <row r="18" spans="1:62">
      <c r="A18" s="2" t="s">
        <v>35</v>
      </c>
      <c r="B18" s="1" t="s">
        <v>36</v>
      </c>
      <c r="C18" s="136">
        <f>+FISCAL!H18</f>
        <v>2800.05</v>
      </c>
      <c r="D18" s="136">
        <v>0</v>
      </c>
      <c r="E18" s="188">
        <f t="shared" si="1"/>
        <v>0</v>
      </c>
      <c r="F18" s="136">
        <f t="shared" si="2"/>
        <v>2800.05</v>
      </c>
      <c r="G18" s="131"/>
      <c r="H18" s="136">
        <f t="shared" si="3"/>
        <v>2800.05</v>
      </c>
      <c r="I18" s="195">
        <f>-FISCAL!O18-AJ18</f>
        <v>-45.13</v>
      </c>
      <c r="J18" s="141">
        <f t="shared" si="4"/>
        <v>56.001000000000005</v>
      </c>
      <c r="K18" s="141">
        <f t="shared" si="5"/>
        <v>210.00375</v>
      </c>
      <c r="L18" s="136">
        <f t="shared" si="6"/>
        <v>3020.9247500000001</v>
      </c>
      <c r="M18" s="141">
        <f t="shared" si="7"/>
        <v>483.34796000000006</v>
      </c>
      <c r="N18" s="141">
        <f t="shared" si="8"/>
        <v>3504.2727100000002</v>
      </c>
      <c r="O18" s="131"/>
      <c r="P18" s="136">
        <f t="shared" si="9"/>
        <v>0</v>
      </c>
      <c r="Q18" s="142">
        <f t="shared" si="10"/>
        <v>0</v>
      </c>
      <c r="R18" s="142">
        <f t="shared" si="11"/>
        <v>0</v>
      </c>
      <c r="S18" s="126"/>
      <c r="T18" s="133" t="str">
        <f t="shared" si="12"/>
        <v>SI</v>
      </c>
      <c r="U18" s="40" t="s">
        <v>174</v>
      </c>
      <c r="V18" s="40" t="s">
        <v>188</v>
      </c>
      <c r="W18" s="42" t="s">
        <v>189</v>
      </c>
      <c r="X18" s="43">
        <v>41822</v>
      </c>
      <c r="Y18" s="40" t="s">
        <v>190</v>
      </c>
      <c r="Z18" s="177">
        <v>0</v>
      </c>
      <c r="AA18" s="45"/>
      <c r="AB18" s="45"/>
      <c r="AC18" s="46"/>
      <c r="AD18" s="50">
        <f t="shared" si="0"/>
        <v>0</v>
      </c>
      <c r="AE18" s="57"/>
      <c r="AF18" s="89"/>
      <c r="AG18" s="47"/>
      <c r="AH18" s="47"/>
      <c r="AI18" s="47"/>
      <c r="AJ18" s="48"/>
      <c r="AK18" s="49">
        <v>0</v>
      </c>
      <c r="AL18" s="50">
        <f t="shared" si="13"/>
        <v>0</v>
      </c>
      <c r="AM18" s="51">
        <f>IF(AD18&gt;4500,AD18*0.1,0)</f>
        <v>0</v>
      </c>
      <c r="AN18" s="50">
        <f t="shared" si="14"/>
        <v>0</v>
      </c>
      <c r="AO18" s="52">
        <f>IF(AD18&lt;4500,AD18*0.1,0)</f>
        <v>0</v>
      </c>
      <c r="AP18" s="51">
        <f>+'[1]C&amp;A'!X17*0.02</f>
        <v>0</v>
      </c>
      <c r="AQ18" s="50">
        <f>+AD18+AO18+AP18</f>
        <v>0</v>
      </c>
      <c r="AR18" s="53"/>
      <c r="AS18" s="54"/>
      <c r="AT18" s="55">
        <f>+AR18+AS18-AN18</f>
        <v>0</v>
      </c>
      <c r="AU18" s="55"/>
      <c r="AV18" s="58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</row>
    <row r="19" spans="1:62">
      <c r="A19" s="2" t="s">
        <v>37</v>
      </c>
      <c r="B19" s="1" t="s">
        <v>38</v>
      </c>
      <c r="C19" s="136">
        <f>+FISCAL!H19</f>
        <v>5868.75</v>
      </c>
      <c r="D19" s="136">
        <v>0</v>
      </c>
      <c r="E19" s="188">
        <f t="shared" si="1"/>
        <v>0</v>
      </c>
      <c r="F19" s="136">
        <f t="shared" si="2"/>
        <v>5868.75</v>
      </c>
      <c r="G19" s="131"/>
      <c r="H19" s="136">
        <f t="shared" si="3"/>
        <v>5868.75</v>
      </c>
      <c r="I19" s="195">
        <f>-FISCAL!O19-AJ19</f>
        <v>-45.13</v>
      </c>
      <c r="J19" s="141">
        <f t="shared" si="4"/>
        <v>117.375</v>
      </c>
      <c r="K19" s="141">
        <f t="shared" si="5"/>
        <v>440.15625</v>
      </c>
      <c r="L19" s="136">
        <f t="shared" si="6"/>
        <v>6381.1512499999999</v>
      </c>
      <c r="M19" s="141">
        <f t="shared" si="7"/>
        <v>1020.9842</v>
      </c>
      <c r="N19" s="141">
        <f t="shared" si="8"/>
        <v>7402.1354499999998</v>
      </c>
      <c r="O19" s="131"/>
      <c r="P19" s="136">
        <f t="shared" si="9"/>
        <v>0</v>
      </c>
      <c r="Q19" s="142">
        <f t="shared" si="10"/>
        <v>0</v>
      </c>
      <c r="R19" s="142">
        <f t="shared" si="11"/>
        <v>0</v>
      </c>
      <c r="S19" s="126"/>
      <c r="T19" s="133" t="str">
        <f t="shared" si="12"/>
        <v>SI</v>
      </c>
      <c r="U19" s="40" t="s">
        <v>174</v>
      </c>
      <c r="V19" s="40" t="s">
        <v>191</v>
      </c>
      <c r="W19" s="42"/>
      <c r="X19" s="43">
        <v>42611</v>
      </c>
      <c r="Y19" s="40" t="s">
        <v>192</v>
      </c>
      <c r="Z19" s="177">
        <v>0</v>
      </c>
      <c r="AA19" s="45"/>
      <c r="AB19" s="45"/>
      <c r="AC19" s="46"/>
      <c r="AD19" s="50">
        <f t="shared" si="0"/>
        <v>0</v>
      </c>
      <c r="AE19" s="57"/>
      <c r="AF19" s="89"/>
      <c r="AG19" s="47"/>
      <c r="AH19" s="47"/>
      <c r="AI19" s="47"/>
      <c r="AJ19" s="48"/>
      <c r="AK19" s="49">
        <v>0</v>
      </c>
      <c r="AL19" s="50">
        <f t="shared" si="13"/>
        <v>0</v>
      </c>
      <c r="AM19" s="51">
        <f>IF(AD19&gt;4500,AD19*0.1,0)</f>
        <v>0</v>
      </c>
      <c r="AN19" s="50">
        <f t="shared" si="14"/>
        <v>0</v>
      </c>
      <c r="AO19" s="52"/>
      <c r="AP19" s="51"/>
      <c r="AQ19" s="50"/>
      <c r="AR19" s="53"/>
      <c r="AS19" s="54"/>
      <c r="AT19" s="55"/>
      <c r="AU19" s="55" t="s">
        <v>193</v>
      </c>
      <c r="AV19" s="58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</row>
    <row r="20" spans="1:62">
      <c r="A20" s="2" t="s">
        <v>39</v>
      </c>
      <c r="B20" s="1" t="s">
        <v>40</v>
      </c>
      <c r="C20" s="136">
        <f>+FISCAL!H20</f>
        <v>2800.05</v>
      </c>
      <c r="D20" s="136">
        <v>0</v>
      </c>
      <c r="E20" s="188">
        <f t="shared" si="1"/>
        <v>0</v>
      </c>
      <c r="F20" s="136">
        <f t="shared" si="2"/>
        <v>2800.05</v>
      </c>
      <c r="G20" s="131"/>
      <c r="H20" s="136">
        <f t="shared" si="3"/>
        <v>2800.05</v>
      </c>
      <c r="I20" s="195">
        <f>-FISCAL!O20-AJ20</f>
        <v>-45.13</v>
      </c>
      <c r="J20" s="141">
        <f t="shared" si="4"/>
        <v>56.001000000000005</v>
      </c>
      <c r="K20" s="141">
        <f t="shared" si="5"/>
        <v>210.00375</v>
      </c>
      <c r="L20" s="136">
        <f t="shared" si="6"/>
        <v>3020.9247500000001</v>
      </c>
      <c r="M20" s="141">
        <f t="shared" si="7"/>
        <v>483.34796000000006</v>
      </c>
      <c r="N20" s="141">
        <f t="shared" si="8"/>
        <v>3504.2727100000002</v>
      </c>
      <c r="O20" s="131"/>
      <c r="P20" s="136">
        <f t="shared" si="9"/>
        <v>0</v>
      </c>
      <c r="Q20" s="142">
        <f t="shared" si="10"/>
        <v>0</v>
      </c>
      <c r="R20" s="142">
        <f t="shared" si="11"/>
        <v>0</v>
      </c>
      <c r="S20" s="126"/>
      <c r="T20" s="133" t="str">
        <f t="shared" si="12"/>
        <v>SI</v>
      </c>
      <c r="U20" s="40" t="s">
        <v>174</v>
      </c>
      <c r="V20" s="58" t="s">
        <v>194</v>
      </c>
      <c r="W20" s="42" t="s">
        <v>195</v>
      </c>
      <c r="X20" s="43">
        <v>41474</v>
      </c>
      <c r="Y20" s="40" t="s">
        <v>190</v>
      </c>
      <c r="Z20" s="177">
        <v>0</v>
      </c>
      <c r="AA20" s="45"/>
      <c r="AB20" s="45"/>
      <c r="AC20" s="46"/>
      <c r="AD20" s="50">
        <f t="shared" si="0"/>
        <v>0</v>
      </c>
      <c r="AE20" s="57"/>
      <c r="AF20" s="89"/>
      <c r="AG20" s="47"/>
      <c r="AH20" s="47"/>
      <c r="AI20" s="47"/>
      <c r="AJ20" s="48"/>
      <c r="AK20" s="49">
        <v>0</v>
      </c>
      <c r="AL20" s="50">
        <f t="shared" si="13"/>
        <v>0</v>
      </c>
      <c r="AM20" s="51">
        <f>IF(AD20&gt;4500,AD20*0.1,0)</f>
        <v>0</v>
      </c>
      <c r="AN20" s="50">
        <f t="shared" si="14"/>
        <v>0</v>
      </c>
      <c r="AO20" s="52">
        <f>IF(AD20&lt;4500,AD20*0.1,0)</f>
        <v>0</v>
      </c>
      <c r="AP20" s="51">
        <f>+'[1]C&amp;A'!X18*0.02</f>
        <v>0</v>
      </c>
      <c r="AQ20" s="50">
        <f>+AD20+AO20+AP20</f>
        <v>0</v>
      </c>
      <c r="AR20" s="53"/>
      <c r="AS20" s="54"/>
      <c r="AT20" s="55">
        <f>+AR20+AS20-AN20</f>
        <v>0</v>
      </c>
      <c r="AU20" s="55"/>
      <c r="AV20" s="60"/>
      <c r="AW20" s="33"/>
      <c r="AX20" s="33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</row>
    <row r="21" spans="1:62">
      <c r="A21" s="2" t="s">
        <v>41</v>
      </c>
      <c r="B21" s="1" t="s">
        <v>42</v>
      </c>
      <c r="C21" s="136">
        <f>+FISCAL!H21</f>
        <v>10000.049999999999</v>
      </c>
      <c r="D21" s="136">
        <v>0</v>
      </c>
      <c r="E21" s="188">
        <f t="shared" si="1"/>
        <v>32442.47</v>
      </c>
      <c r="F21" s="136">
        <f t="shared" si="2"/>
        <v>42442.520000000004</v>
      </c>
      <c r="G21" s="131"/>
      <c r="H21" s="136">
        <f t="shared" si="3"/>
        <v>10000.049999999999</v>
      </c>
      <c r="I21" s="195">
        <f>-FISCAL!O21-AJ21</f>
        <v>-45.13</v>
      </c>
      <c r="J21" s="141">
        <f t="shared" si="4"/>
        <v>200.00099999999998</v>
      </c>
      <c r="K21" s="141">
        <f t="shared" si="5"/>
        <v>750.00374999999997</v>
      </c>
      <c r="L21" s="136">
        <f t="shared" si="6"/>
        <v>10904.92475</v>
      </c>
      <c r="M21" s="141">
        <f t="shared" si="7"/>
        <v>1744.7879600000001</v>
      </c>
      <c r="N21" s="141">
        <f t="shared" si="8"/>
        <v>12649.71271</v>
      </c>
      <c r="O21" s="131"/>
      <c r="P21" s="136">
        <f t="shared" si="9"/>
        <v>32442.47</v>
      </c>
      <c r="Q21" s="142">
        <f t="shared" si="10"/>
        <v>5190.7952000000005</v>
      </c>
      <c r="R21" s="142">
        <f t="shared" si="11"/>
        <v>37633.265200000002</v>
      </c>
      <c r="S21" s="126"/>
      <c r="T21" s="133" t="str">
        <f t="shared" si="12"/>
        <v>SI</v>
      </c>
      <c r="U21" s="40" t="s">
        <v>196</v>
      </c>
      <c r="V21" s="58" t="s">
        <v>197</v>
      </c>
      <c r="W21" s="42"/>
      <c r="X21" s="43">
        <v>42583</v>
      </c>
      <c r="Y21" s="40" t="s">
        <v>198</v>
      </c>
      <c r="Z21" s="177">
        <v>32442.47</v>
      </c>
      <c r="AA21" s="45"/>
      <c r="AB21" s="45"/>
      <c r="AC21" s="46"/>
      <c r="AD21" s="50">
        <f t="shared" si="0"/>
        <v>32442.47</v>
      </c>
      <c r="AE21" s="57"/>
      <c r="AF21" s="89"/>
      <c r="AG21" s="47"/>
      <c r="AH21" s="47"/>
      <c r="AI21" s="47"/>
      <c r="AJ21" s="48"/>
      <c r="AK21" s="49">
        <v>8122</v>
      </c>
      <c r="AL21" s="50">
        <f t="shared" si="13"/>
        <v>24320.47</v>
      </c>
      <c r="AM21" s="51"/>
      <c r="AN21" s="50">
        <f t="shared" si="14"/>
        <v>24320.47</v>
      </c>
      <c r="AO21" s="52"/>
      <c r="AP21" s="51"/>
      <c r="AQ21" s="50"/>
      <c r="AR21" s="53"/>
      <c r="AS21" s="54"/>
      <c r="AT21" s="55"/>
      <c r="AU21" s="55"/>
      <c r="AV21" s="60"/>
      <c r="AW21" s="33"/>
      <c r="AX21" s="33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</row>
    <row r="22" spans="1:62" ht="16.5" customHeight="1">
      <c r="A22" s="2" t="s">
        <v>43</v>
      </c>
      <c r="B22" s="1" t="s">
        <v>44</v>
      </c>
      <c r="C22" s="136">
        <f>+FISCAL!H22</f>
        <v>3466.7200000000003</v>
      </c>
      <c r="D22" s="136">
        <v>0</v>
      </c>
      <c r="E22" s="188">
        <f t="shared" si="1"/>
        <v>0</v>
      </c>
      <c r="F22" s="136">
        <f t="shared" si="2"/>
        <v>3466.7200000000003</v>
      </c>
      <c r="G22" s="131"/>
      <c r="H22" s="136">
        <f t="shared" si="3"/>
        <v>3466.7200000000003</v>
      </c>
      <c r="I22" s="195">
        <f>-FISCAL!O22-AJ22</f>
        <v>-45.13</v>
      </c>
      <c r="J22" s="141">
        <f t="shared" si="4"/>
        <v>69.334400000000002</v>
      </c>
      <c r="K22" s="141">
        <f t="shared" si="5"/>
        <v>260.00400000000002</v>
      </c>
      <c r="L22" s="136">
        <f t="shared" si="6"/>
        <v>3750.9284000000002</v>
      </c>
      <c r="M22" s="141">
        <f t="shared" si="7"/>
        <v>600.14854400000002</v>
      </c>
      <c r="N22" s="141">
        <f t="shared" si="8"/>
        <v>4351.0769440000004</v>
      </c>
      <c r="O22" s="131"/>
      <c r="P22" s="136">
        <f t="shared" si="9"/>
        <v>0</v>
      </c>
      <c r="Q22" s="142">
        <f t="shared" si="10"/>
        <v>0</v>
      </c>
      <c r="R22" s="142">
        <f t="shared" si="11"/>
        <v>0</v>
      </c>
      <c r="S22" s="126"/>
      <c r="T22" s="178" t="str">
        <f t="shared" si="12"/>
        <v>SI</v>
      </c>
      <c r="U22" s="40" t="s">
        <v>171</v>
      </c>
      <c r="V22" s="58" t="s">
        <v>199</v>
      </c>
      <c r="W22" s="42"/>
      <c r="X22" s="43">
        <v>42608</v>
      </c>
      <c r="Y22" s="40" t="s">
        <v>175</v>
      </c>
      <c r="Z22" s="177">
        <v>0</v>
      </c>
      <c r="AA22" s="45"/>
      <c r="AB22" s="45"/>
      <c r="AC22" s="46"/>
      <c r="AD22" s="50">
        <f t="shared" si="0"/>
        <v>0</v>
      </c>
      <c r="AE22" s="57"/>
      <c r="AF22" s="89"/>
      <c r="AG22" s="47"/>
      <c r="AH22" s="47"/>
      <c r="AI22" s="47"/>
      <c r="AJ22" s="48"/>
      <c r="AK22" s="49">
        <v>0</v>
      </c>
      <c r="AL22" s="50">
        <f t="shared" si="13"/>
        <v>0</v>
      </c>
      <c r="AM22" s="51"/>
      <c r="AN22" s="50">
        <f t="shared" si="14"/>
        <v>0</v>
      </c>
      <c r="AO22" s="52"/>
      <c r="AP22" s="51"/>
      <c r="AQ22" s="50"/>
      <c r="AR22" s="53"/>
      <c r="AS22" s="54"/>
      <c r="AT22" s="55"/>
      <c r="AU22" s="55"/>
      <c r="AV22" s="61" t="s">
        <v>316</v>
      </c>
      <c r="AW22" s="33"/>
      <c r="AX22" s="33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</row>
    <row r="23" spans="1:62">
      <c r="A23" s="2" t="s">
        <v>45</v>
      </c>
      <c r="B23" s="1" t="s">
        <v>46</v>
      </c>
      <c r="C23" s="136">
        <f>+FISCAL!H23</f>
        <v>3365.6000000000004</v>
      </c>
      <c r="D23" s="136">
        <v>0</v>
      </c>
      <c r="E23" s="188">
        <f t="shared" si="1"/>
        <v>0</v>
      </c>
      <c r="F23" s="136">
        <f t="shared" si="2"/>
        <v>3365.6000000000004</v>
      </c>
      <c r="G23" s="131"/>
      <c r="H23" s="136">
        <f t="shared" si="3"/>
        <v>3365.6000000000004</v>
      </c>
      <c r="I23" s="195">
        <f>-FISCAL!O23-AJ23</f>
        <v>-45.13</v>
      </c>
      <c r="J23" s="141">
        <f t="shared" si="4"/>
        <v>67.312000000000012</v>
      </c>
      <c r="K23" s="141">
        <f t="shared" si="5"/>
        <v>252.42000000000002</v>
      </c>
      <c r="L23" s="136">
        <f t="shared" si="6"/>
        <v>3640.2020000000002</v>
      </c>
      <c r="M23" s="141">
        <f t="shared" si="7"/>
        <v>582.43232</v>
      </c>
      <c r="N23" s="141">
        <f t="shared" si="8"/>
        <v>4222.6343200000001</v>
      </c>
      <c r="O23" s="131"/>
      <c r="P23" s="136">
        <f t="shared" si="9"/>
        <v>0</v>
      </c>
      <c r="Q23" s="142">
        <f t="shared" si="10"/>
        <v>0</v>
      </c>
      <c r="R23" s="142">
        <f t="shared" si="11"/>
        <v>0</v>
      </c>
      <c r="S23" s="126"/>
      <c r="T23" s="178" t="str">
        <f t="shared" si="12"/>
        <v>SI</v>
      </c>
      <c r="U23" s="40" t="s">
        <v>171</v>
      </c>
      <c r="V23" s="58" t="s">
        <v>200</v>
      </c>
      <c r="W23" s="42"/>
      <c r="X23" s="43">
        <v>42552</v>
      </c>
      <c r="Y23" s="40" t="s">
        <v>175</v>
      </c>
      <c r="Z23" s="177">
        <v>0</v>
      </c>
      <c r="AA23" s="45"/>
      <c r="AB23" s="45"/>
      <c r="AC23" s="46"/>
      <c r="AD23" s="50">
        <f t="shared" si="0"/>
        <v>0</v>
      </c>
      <c r="AE23" s="57"/>
      <c r="AF23" s="89"/>
      <c r="AG23" s="47"/>
      <c r="AH23" s="47"/>
      <c r="AI23" s="47"/>
      <c r="AJ23" s="48"/>
      <c r="AK23" s="49">
        <v>1000</v>
      </c>
      <c r="AL23" s="50">
        <f t="shared" si="13"/>
        <v>-1000</v>
      </c>
      <c r="AM23" s="51">
        <f t="shared" ref="AM23:AM37" si="15">IF(AD23&gt;4500,AD23*0.1,0)</f>
        <v>0</v>
      </c>
      <c r="AN23" s="50">
        <f t="shared" si="14"/>
        <v>-1000</v>
      </c>
      <c r="AO23" s="52">
        <f t="shared" ref="AO23:AO37" si="16">IF(AD23&lt;4500,AD23*0.1,0)</f>
        <v>0</v>
      </c>
      <c r="AP23" s="51">
        <f>+'[1]C&amp;A'!X19*0.02</f>
        <v>0</v>
      </c>
      <c r="AQ23" s="50">
        <f>+AD23+AO23+AP23</f>
        <v>0</v>
      </c>
      <c r="AR23" s="53"/>
      <c r="AS23" s="54"/>
      <c r="AT23" s="55"/>
      <c r="AU23" s="55"/>
      <c r="AV23" s="60" t="s">
        <v>316</v>
      </c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</row>
    <row r="24" spans="1:62" s="148" customFormat="1">
      <c r="A24" s="147" t="s">
        <v>47</v>
      </c>
      <c r="B24" s="148" t="s">
        <v>48</v>
      </c>
      <c r="C24" s="149">
        <f>+FISCAL!H24</f>
        <v>15000</v>
      </c>
      <c r="D24" s="149">
        <v>0</v>
      </c>
      <c r="E24" s="188">
        <f t="shared" si="1"/>
        <v>71346.259999999995</v>
      </c>
      <c r="F24" s="149">
        <f t="shared" si="2"/>
        <v>86346.26</v>
      </c>
      <c r="H24" s="149">
        <f t="shared" si="3"/>
        <v>15000</v>
      </c>
      <c r="I24" s="195">
        <f>-FISCAL!O24-AJ24</f>
        <v>-1615.13</v>
      </c>
      <c r="J24" s="150">
        <f t="shared" si="4"/>
        <v>300</v>
      </c>
      <c r="K24" s="150">
        <f t="shared" si="5"/>
        <v>1125</v>
      </c>
      <c r="L24" s="149">
        <f t="shared" si="6"/>
        <v>14809.869999999999</v>
      </c>
      <c r="M24" s="150">
        <f t="shared" si="7"/>
        <v>2369.5791999999997</v>
      </c>
      <c r="N24" s="150">
        <f t="shared" si="8"/>
        <v>17179.449199999999</v>
      </c>
      <c r="O24" s="151"/>
      <c r="P24" s="149">
        <f t="shared" si="9"/>
        <v>71346.259999999995</v>
      </c>
      <c r="Q24" s="152">
        <f t="shared" si="10"/>
        <v>11415.401599999999</v>
      </c>
      <c r="R24" s="152">
        <f t="shared" si="11"/>
        <v>82761.661599999992</v>
      </c>
      <c r="S24" s="130"/>
      <c r="T24" s="178" t="str">
        <f t="shared" si="12"/>
        <v>SI</v>
      </c>
      <c r="U24" s="40" t="s">
        <v>196</v>
      </c>
      <c r="V24" s="58" t="s">
        <v>201</v>
      </c>
      <c r="W24" s="42"/>
      <c r="X24" s="43">
        <v>38873</v>
      </c>
      <c r="Y24" s="105" t="s">
        <v>202</v>
      </c>
      <c r="Z24" s="177">
        <v>71346.259999999995</v>
      </c>
      <c r="AA24" s="45"/>
      <c r="AB24" s="45"/>
      <c r="AC24" s="46"/>
      <c r="AD24" s="50">
        <f t="shared" si="0"/>
        <v>71346.259999999995</v>
      </c>
      <c r="AE24" s="57"/>
      <c r="AF24" s="89"/>
      <c r="AG24" s="47"/>
      <c r="AH24" s="47"/>
      <c r="AI24" s="47"/>
      <c r="AJ24" s="48">
        <v>1570</v>
      </c>
      <c r="AK24" s="49">
        <v>345</v>
      </c>
      <c r="AL24" s="50">
        <f t="shared" si="13"/>
        <v>69431.259999999995</v>
      </c>
      <c r="AM24" s="51">
        <f t="shared" si="15"/>
        <v>7134.6260000000002</v>
      </c>
      <c r="AN24" s="50">
        <f t="shared" si="14"/>
        <v>62296.633999999991</v>
      </c>
      <c r="AO24" s="52">
        <f t="shared" si="16"/>
        <v>0</v>
      </c>
      <c r="AP24" s="51"/>
      <c r="AQ24" s="50"/>
      <c r="AR24" s="53"/>
      <c r="AS24" s="54"/>
      <c r="AT24" s="55"/>
      <c r="AU24" s="55"/>
      <c r="AV24" s="60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</row>
    <row r="25" spans="1:62">
      <c r="A25" s="2" t="s">
        <v>51</v>
      </c>
      <c r="B25" s="1" t="s">
        <v>52</v>
      </c>
      <c r="C25" s="136">
        <f>+FISCAL!H25</f>
        <v>2500.0500000000002</v>
      </c>
      <c r="D25" s="136">
        <v>0</v>
      </c>
      <c r="E25" s="188">
        <f t="shared" si="1"/>
        <v>11366.95</v>
      </c>
      <c r="F25" s="136">
        <f t="shared" si="2"/>
        <v>13867</v>
      </c>
      <c r="G25" s="131"/>
      <c r="H25" s="136">
        <f t="shared" si="3"/>
        <v>2500.0500000000002</v>
      </c>
      <c r="I25" s="195">
        <f>-FISCAL!O25-AJ25</f>
        <v>-45.13</v>
      </c>
      <c r="J25" s="141">
        <f t="shared" si="4"/>
        <v>50.001000000000005</v>
      </c>
      <c r="K25" s="141">
        <f t="shared" si="5"/>
        <v>187.50375</v>
      </c>
      <c r="L25" s="136">
        <f t="shared" si="6"/>
        <v>2692.4247500000001</v>
      </c>
      <c r="M25" s="141">
        <f t="shared" si="7"/>
        <v>430.78796000000006</v>
      </c>
      <c r="N25" s="141">
        <f t="shared" si="8"/>
        <v>3123.2127100000002</v>
      </c>
      <c r="O25" s="131"/>
      <c r="P25" s="136">
        <f t="shared" si="9"/>
        <v>11366.95</v>
      </c>
      <c r="Q25" s="142">
        <f t="shared" si="10"/>
        <v>1818.7120000000002</v>
      </c>
      <c r="R25" s="142">
        <f t="shared" si="11"/>
        <v>13185.662</v>
      </c>
      <c r="S25" s="126"/>
      <c r="T25" s="178" t="str">
        <f t="shared" si="12"/>
        <v>SI</v>
      </c>
      <c r="U25" s="40" t="s">
        <v>174</v>
      </c>
      <c r="V25" s="58" t="s">
        <v>52</v>
      </c>
      <c r="W25" s="42" t="s">
        <v>203</v>
      </c>
      <c r="X25" s="43">
        <v>42298</v>
      </c>
      <c r="Y25" s="40" t="s">
        <v>204</v>
      </c>
      <c r="Z25" s="177">
        <v>11366.95</v>
      </c>
      <c r="AA25" s="62"/>
      <c r="AB25" s="45"/>
      <c r="AC25" s="46"/>
      <c r="AD25" s="50">
        <f t="shared" si="0"/>
        <v>11366.95</v>
      </c>
      <c r="AE25" s="57"/>
      <c r="AF25" s="89"/>
      <c r="AG25" s="47"/>
      <c r="AH25" s="47"/>
      <c r="AI25" s="47"/>
      <c r="AJ25" s="48"/>
      <c r="AK25" s="49">
        <v>0</v>
      </c>
      <c r="AL25" s="50">
        <f t="shared" si="13"/>
        <v>11366.95</v>
      </c>
      <c r="AM25" s="51">
        <f t="shared" si="15"/>
        <v>1136.6950000000002</v>
      </c>
      <c r="AN25" s="50">
        <f t="shared" si="14"/>
        <v>10230.255000000001</v>
      </c>
      <c r="AO25" s="52">
        <f t="shared" si="16"/>
        <v>0</v>
      </c>
      <c r="AP25" s="51">
        <f>+'[1]C&amp;A'!X22*0.02</f>
        <v>0</v>
      </c>
      <c r="AQ25" s="50">
        <f t="shared" ref="AQ25:AQ37" si="17">+AD25+AO25+AP25</f>
        <v>11366.95</v>
      </c>
      <c r="AR25" s="53"/>
      <c r="AS25" s="59"/>
      <c r="AT25" s="55">
        <f t="shared" ref="AT25:AT28" si="18">+AR25+AS25-AN25</f>
        <v>-10230.255000000001</v>
      </c>
      <c r="AU25" s="55"/>
      <c r="AV25" s="58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</row>
    <row r="26" spans="1:62">
      <c r="A26" s="2" t="s">
        <v>53</v>
      </c>
      <c r="B26" s="1" t="s">
        <v>54</v>
      </c>
      <c r="C26" s="136">
        <f>+FISCAL!H26</f>
        <v>2500.0500000000002</v>
      </c>
      <c r="D26" s="136">
        <v>0</v>
      </c>
      <c r="E26" s="188">
        <f t="shared" si="1"/>
        <v>22750</v>
      </c>
      <c r="F26" s="136">
        <f t="shared" si="2"/>
        <v>25250.05</v>
      </c>
      <c r="G26" s="131"/>
      <c r="H26" s="136">
        <f t="shared" si="3"/>
        <v>2500.0500000000002</v>
      </c>
      <c r="I26" s="195">
        <f>-FISCAL!O26-AJ26</f>
        <v>-45.13</v>
      </c>
      <c r="J26" s="141">
        <f t="shared" si="4"/>
        <v>50.001000000000005</v>
      </c>
      <c r="K26" s="141">
        <f t="shared" si="5"/>
        <v>187.50375</v>
      </c>
      <c r="L26" s="136">
        <f t="shared" si="6"/>
        <v>2692.4247500000001</v>
      </c>
      <c r="M26" s="141">
        <f t="shared" si="7"/>
        <v>430.78796000000006</v>
      </c>
      <c r="N26" s="141">
        <f t="shared" si="8"/>
        <v>3123.2127100000002</v>
      </c>
      <c r="O26" s="131"/>
      <c r="P26" s="136">
        <f t="shared" si="9"/>
        <v>22750</v>
      </c>
      <c r="Q26" s="142">
        <f t="shared" si="10"/>
        <v>3640</v>
      </c>
      <c r="R26" s="142">
        <f t="shared" si="11"/>
        <v>26390</v>
      </c>
      <c r="S26" s="126"/>
      <c r="T26" s="178" t="str">
        <f t="shared" si="12"/>
        <v>SI</v>
      </c>
      <c r="U26" s="40" t="s">
        <v>176</v>
      </c>
      <c r="V26" s="40" t="s">
        <v>210</v>
      </c>
      <c r="W26" s="42"/>
      <c r="X26" s="43">
        <v>42038</v>
      </c>
      <c r="Y26" s="40" t="s">
        <v>211</v>
      </c>
      <c r="Z26" s="177">
        <v>22750</v>
      </c>
      <c r="AA26" s="62"/>
      <c r="AB26" s="45"/>
      <c r="AC26" s="46"/>
      <c r="AD26" s="50">
        <f t="shared" si="0"/>
        <v>22750</v>
      </c>
      <c r="AE26" s="57"/>
      <c r="AF26" s="89"/>
      <c r="AG26" s="47"/>
      <c r="AH26" s="47"/>
      <c r="AI26" s="47"/>
      <c r="AJ26" s="48"/>
      <c r="AK26" s="49">
        <v>240</v>
      </c>
      <c r="AL26" s="50">
        <f t="shared" si="13"/>
        <v>22510</v>
      </c>
      <c r="AM26" s="51">
        <f t="shared" si="15"/>
        <v>2275</v>
      </c>
      <c r="AN26" s="50">
        <f t="shared" si="14"/>
        <v>20235</v>
      </c>
      <c r="AO26" s="52">
        <f t="shared" si="16"/>
        <v>0</v>
      </c>
      <c r="AP26" s="51">
        <f>+'[1]C&amp;A'!X24*0.02</f>
        <v>0</v>
      </c>
      <c r="AQ26" s="50">
        <f t="shared" si="17"/>
        <v>22750</v>
      </c>
      <c r="AR26" s="53"/>
      <c r="AS26" s="59"/>
      <c r="AT26" s="55">
        <f t="shared" si="18"/>
        <v>-20235</v>
      </c>
      <c r="AU26" s="55"/>
      <c r="AV26" s="58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</row>
    <row r="27" spans="1:62">
      <c r="A27" s="147" t="s">
        <v>55</v>
      </c>
      <c r="B27" s="148" t="s">
        <v>292</v>
      </c>
      <c r="C27" s="149">
        <f>+FISCAL!H27</f>
        <v>20000.099999999999</v>
      </c>
      <c r="D27" s="149">
        <v>0</v>
      </c>
      <c r="E27" s="188">
        <f t="shared" si="1"/>
        <v>181079.11</v>
      </c>
      <c r="F27" s="149">
        <f t="shared" si="2"/>
        <v>201079.21</v>
      </c>
      <c r="G27" s="148"/>
      <c r="H27" s="149">
        <f t="shared" si="3"/>
        <v>20000.099999999999</v>
      </c>
      <c r="I27" s="195">
        <f>-FISCAL!O27-AJ27</f>
        <v>-45.13</v>
      </c>
      <c r="J27" s="150">
        <f t="shared" si="4"/>
        <v>400.00199999999995</v>
      </c>
      <c r="K27" s="150">
        <f t="shared" si="5"/>
        <v>1500.0074999999999</v>
      </c>
      <c r="L27" s="149">
        <f t="shared" si="6"/>
        <v>21854.979499999998</v>
      </c>
      <c r="M27" s="150">
        <f t="shared" si="7"/>
        <v>3496.7967199999998</v>
      </c>
      <c r="N27" s="150">
        <f t="shared" si="8"/>
        <v>25351.776219999996</v>
      </c>
      <c r="O27" s="151"/>
      <c r="P27" s="149">
        <f t="shared" si="9"/>
        <v>181079.11</v>
      </c>
      <c r="Q27" s="152">
        <f t="shared" si="10"/>
        <v>28972.657599999999</v>
      </c>
      <c r="R27" s="152">
        <f t="shared" si="11"/>
        <v>210051.76759999999</v>
      </c>
      <c r="S27" s="130"/>
      <c r="T27" s="178" t="str">
        <f t="shared" si="12"/>
        <v>SI</v>
      </c>
      <c r="U27" s="40" t="s">
        <v>196</v>
      </c>
      <c r="V27" s="40" t="s">
        <v>212</v>
      </c>
      <c r="W27" s="40" t="s">
        <v>213</v>
      </c>
      <c r="X27" s="43">
        <v>41582</v>
      </c>
      <c r="Y27" s="40" t="s">
        <v>214</v>
      </c>
      <c r="Z27" s="177">
        <v>181079.11</v>
      </c>
      <c r="AA27" s="45"/>
      <c r="AB27" s="45"/>
      <c r="AC27" s="46"/>
      <c r="AD27" s="50">
        <f t="shared" si="0"/>
        <v>181079.11</v>
      </c>
      <c r="AE27" s="57"/>
      <c r="AF27" s="89"/>
      <c r="AG27" s="47"/>
      <c r="AH27" s="47"/>
      <c r="AI27" s="47"/>
      <c r="AJ27" s="48"/>
      <c r="AK27" s="49">
        <v>0</v>
      </c>
      <c r="AL27" s="50">
        <f t="shared" si="13"/>
        <v>181079.11</v>
      </c>
      <c r="AM27" s="51">
        <f t="shared" si="15"/>
        <v>18107.911</v>
      </c>
      <c r="AN27" s="50">
        <f t="shared" si="14"/>
        <v>162971.19899999999</v>
      </c>
      <c r="AO27" s="52">
        <f t="shared" si="16"/>
        <v>0</v>
      </c>
      <c r="AP27" s="51">
        <f>+'[1]C&amp;A'!X25*0.02</f>
        <v>0</v>
      </c>
      <c r="AQ27" s="50">
        <f t="shared" si="17"/>
        <v>181079.11</v>
      </c>
      <c r="AR27" s="53"/>
      <c r="AS27" s="59"/>
      <c r="AT27" s="55">
        <f t="shared" si="18"/>
        <v>-162971.19899999999</v>
      </c>
      <c r="AU27" s="55"/>
      <c r="AV27" s="58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</row>
    <row r="28" spans="1:62" s="148" customFormat="1">
      <c r="A28" s="2" t="s">
        <v>56</v>
      </c>
      <c r="B28" s="1" t="s">
        <v>57</v>
      </c>
      <c r="C28" s="136">
        <f>+FISCAL!H28</f>
        <v>2500.0500000000002</v>
      </c>
      <c r="D28" s="136">
        <v>0</v>
      </c>
      <c r="E28" s="188">
        <f t="shared" si="1"/>
        <v>5265</v>
      </c>
      <c r="F28" s="136">
        <f t="shared" si="2"/>
        <v>7765.05</v>
      </c>
      <c r="G28" s="131"/>
      <c r="H28" s="136">
        <f t="shared" si="3"/>
        <v>2500.0500000000002</v>
      </c>
      <c r="I28" s="195">
        <f>-FISCAL!O28-AJ28</f>
        <v>-45.13</v>
      </c>
      <c r="J28" s="141">
        <f t="shared" si="4"/>
        <v>50.001000000000005</v>
      </c>
      <c r="K28" s="141">
        <f t="shared" si="5"/>
        <v>187.50375</v>
      </c>
      <c r="L28" s="136">
        <f t="shared" si="6"/>
        <v>2692.4247500000001</v>
      </c>
      <c r="M28" s="141">
        <f t="shared" si="7"/>
        <v>430.78796000000006</v>
      </c>
      <c r="N28" s="141">
        <f t="shared" si="8"/>
        <v>3123.2127100000002</v>
      </c>
      <c r="O28" s="131"/>
      <c r="P28" s="136">
        <f t="shared" si="9"/>
        <v>5265</v>
      </c>
      <c r="Q28" s="142">
        <f t="shared" si="10"/>
        <v>842.4</v>
      </c>
      <c r="R28" s="142">
        <f t="shared" si="11"/>
        <v>6107.4</v>
      </c>
      <c r="S28" s="126"/>
      <c r="T28" s="178" t="str">
        <f t="shared" si="12"/>
        <v>SI</v>
      </c>
      <c r="U28" s="40" t="s">
        <v>196</v>
      </c>
      <c r="V28" s="58" t="s">
        <v>215</v>
      </c>
      <c r="W28" s="42" t="s">
        <v>216</v>
      </c>
      <c r="X28" s="43">
        <v>42380</v>
      </c>
      <c r="Y28" s="40" t="s">
        <v>217</v>
      </c>
      <c r="Z28" s="177">
        <v>5265</v>
      </c>
      <c r="AA28" s="45"/>
      <c r="AB28" s="45"/>
      <c r="AC28" s="46"/>
      <c r="AD28" s="50">
        <f t="shared" si="0"/>
        <v>5265</v>
      </c>
      <c r="AE28" s="57"/>
      <c r="AF28" s="89"/>
      <c r="AG28" s="47"/>
      <c r="AH28" s="47"/>
      <c r="AI28" s="47"/>
      <c r="AJ28" s="48"/>
      <c r="AK28" s="49">
        <v>0</v>
      </c>
      <c r="AL28" s="50">
        <f t="shared" si="13"/>
        <v>5265</v>
      </c>
      <c r="AM28" s="51">
        <f t="shared" si="15"/>
        <v>526.5</v>
      </c>
      <c r="AN28" s="50">
        <f t="shared" si="14"/>
        <v>4738.5</v>
      </c>
      <c r="AO28" s="52">
        <f t="shared" si="16"/>
        <v>0</v>
      </c>
      <c r="AP28" s="51">
        <f>+'[1]C&amp;A'!X27*0.02</f>
        <v>0</v>
      </c>
      <c r="AQ28" s="50">
        <f t="shared" si="17"/>
        <v>5265</v>
      </c>
      <c r="AR28" s="53"/>
      <c r="AS28" s="59"/>
      <c r="AT28" s="55">
        <f t="shared" si="18"/>
        <v>-4738.5</v>
      </c>
      <c r="AU28" s="55"/>
      <c r="AV28" s="58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</row>
    <row r="29" spans="1:62">
      <c r="A29" s="2" t="s">
        <v>58</v>
      </c>
      <c r="B29" s="1" t="s">
        <v>59</v>
      </c>
      <c r="C29" s="136">
        <f>+FISCAL!H29</f>
        <v>15946.35</v>
      </c>
      <c r="D29" s="136">
        <v>0</v>
      </c>
      <c r="E29" s="188">
        <f t="shared" si="1"/>
        <v>13890</v>
      </c>
      <c r="F29" s="136">
        <f t="shared" si="2"/>
        <v>29836.35</v>
      </c>
      <c r="G29" s="131"/>
      <c r="H29" s="136">
        <f t="shared" si="3"/>
        <v>15946.35</v>
      </c>
      <c r="I29" s="195">
        <f>-FISCAL!O29-AJ29</f>
        <v>-45.13</v>
      </c>
      <c r="J29" s="141">
        <f t="shared" si="4"/>
        <v>318.92700000000002</v>
      </c>
      <c r="K29" s="141">
        <f t="shared" si="5"/>
        <v>1195.9762499999999</v>
      </c>
      <c r="L29" s="136">
        <f t="shared" si="6"/>
        <v>17416.123250000001</v>
      </c>
      <c r="M29" s="141">
        <f t="shared" si="7"/>
        <v>2786.5797200000002</v>
      </c>
      <c r="N29" s="141">
        <f t="shared" si="8"/>
        <v>20202.702970000002</v>
      </c>
      <c r="O29" s="131"/>
      <c r="P29" s="136">
        <f t="shared" si="9"/>
        <v>13890</v>
      </c>
      <c r="Q29" s="142">
        <f t="shared" si="10"/>
        <v>2222.4</v>
      </c>
      <c r="R29" s="142">
        <f t="shared" si="11"/>
        <v>16112.4</v>
      </c>
      <c r="S29" s="126"/>
      <c r="T29" s="178" t="str">
        <f t="shared" si="12"/>
        <v>SI</v>
      </c>
      <c r="U29" s="40" t="s">
        <v>171</v>
      </c>
      <c r="V29" s="103" t="s">
        <v>218</v>
      </c>
      <c r="W29" s="42">
        <v>3</v>
      </c>
      <c r="X29" s="43">
        <v>39465</v>
      </c>
      <c r="Y29" s="40" t="s">
        <v>219</v>
      </c>
      <c r="Z29" s="177">
        <v>13890</v>
      </c>
      <c r="AA29" s="45"/>
      <c r="AB29" s="45"/>
      <c r="AC29" s="46"/>
      <c r="AD29" s="50">
        <f t="shared" si="0"/>
        <v>13890</v>
      </c>
      <c r="AE29" s="57"/>
      <c r="AF29" s="89"/>
      <c r="AG29" s="47"/>
      <c r="AH29" s="47"/>
      <c r="AI29" s="47"/>
      <c r="AJ29" s="104"/>
      <c r="AK29" s="49">
        <v>323.91000000000003</v>
      </c>
      <c r="AL29" s="50">
        <f t="shared" si="13"/>
        <v>13566.09</v>
      </c>
      <c r="AM29" s="51"/>
      <c r="AN29" s="50">
        <f t="shared" si="14"/>
        <v>13566.09</v>
      </c>
      <c r="AO29" s="52"/>
      <c r="AP29" s="51"/>
      <c r="AQ29" s="50"/>
      <c r="AR29" s="53"/>
      <c r="AS29" s="59"/>
      <c r="AT29" s="55"/>
      <c r="AU29" s="55"/>
      <c r="AV29" s="61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</row>
    <row r="30" spans="1:62">
      <c r="A30" s="2" t="s">
        <v>60</v>
      </c>
      <c r="B30" s="1" t="s">
        <v>61</v>
      </c>
      <c r="C30" s="136">
        <f>+FISCAL!H30</f>
        <v>7500</v>
      </c>
      <c r="D30" s="136">
        <v>0</v>
      </c>
      <c r="E30" s="188">
        <f t="shared" si="1"/>
        <v>11886.62</v>
      </c>
      <c r="F30" s="136">
        <f t="shared" si="2"/>
        <v>19386.620000000003</v>
      </c>
      <c r="G30" s="131"/>
      <c r="H30" s="136">
        <f t="shared" si="3"/>
        <v>7500</v>
      </c>
      <c r="I30" s="195">
        <f>-FISCAL!O30-AJ30</f>
        <v>-45.13</v>
      </c>
      <c r="J30" s="141">
        <f t="shared" si="4"/>
        <v>150</v>
      </c>
      <c r="K30" s="141">
        <f t="shared" si="5"/>
        <v>562.5</v>
      </c>
      <c r="L30" s="136">
        <f t="shared" si="6"/>
        <v>8167.37</v>
      </c>
      <c r="M30" s="141">
        <f t="shared" si="7"/>
        <v>1306.7791999999999</v>
      </c>
      <c r="N30" s="141">
        <f t="shared" si="8"/>
        <v>9474.1491999999998</v>
      </c>
      <c r="O30" s="131"/>
      <c r="P30" s="136">
        <f t="shared" si="9"/>
        <v>11886.62</v>
      </c>
      <c r="Q30" s="142">
        <f t="shared" si="10"/>
        <v>1901.8592000000001</v>
      </c>
      <c r="R30" s="142">
        <f t="shared" si="11"/>
        <v>13788.479200000002</v>
      </c>
      <c r="S30" s="126"/>
      <c r="T30" s="178" t="str">
        <f t="shared" si="12"/>
        <v>SI</v>
      </c>
      <c r="U30" s="40" t="s">
        <v>171</v>
      </c>
      <c r="V30" s="58" t="s">
        <v>220</v>
      </c>
      <c r="W30" s="42"/>
      <c r="X30" s="43">
        <v>40530</v>
      </c>
      <c r="Y30" s="40" t="s">
        <v>221</v>
      </c>
      <c r="Z30" s="177">
        <v>11886.62</v>
      </c>
      <c r="AA30" s="45"/>
      <c r="AB30" s="45"/>
      <c r="AC30" s="46"/>
      <c r="AD30" s="50">
        <f t="shared" si="0"/>
        <v>11886.62</v>
      </c>
      <c r="AE30" s="57"/>
      <c r="AF30" s="89"/>
      <c r="AG30" s="47"/>
      <c r="AH30" s="47"/>
      <c r="AI30" s="47"/>
      <c r="AJ30" s="48"/>
      <c r="AK30" s="49">
        <v>1237</v>
      </c>
      <c r="AL30" s="50">
        <f t="shared" si="13"/>
        <v>10649.62</v>
      </c>
      <c r="AM30" s="51">
        <f t="shared" si="15"/>
        <v>1188.662</v>
      </c>
      <c r="AN30" s="50">
        <f t="shared" si="14"/>
        <v>9460.9580000000005</v>
      </c>
      <c r="AO30" s="52">
        <f t="shared" si="16"/>
        <v>0</v>
      </c>
      <c r="AP30" s="51">
        <f>+'[1]C&amp;A'!X28*0.02</f>
        <v>0</v>
      </c>
      <c r="AQ30" s="50">
        <f t="shared" si="17"/>
        <v>11886.62</v>
      </c>
      <c r="AR30" s="53"/>
      <c r="AS30" s="54"/>
      <c r="AT30" s="55"/>
      <c r="AU30" s="55"/>
      <c r="AV30" s="58"/>
      <c r="AW30" s="33">
        <v>15946.28</v>
      </c>
      <c r="AX30" s="175">
        <f>+AW30/15</f>
        <v>1063.0853333333334</v>
      </c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2">
      <c r="A31" s="2" t="s">
        <v>62</v>
      </c>
      <c r="B31" s="1" t="s">
        <v>63</v>
      </c>
      <c r="C31" s="136">
        <f>+FISCAL!H31</f>
        <v>3750</v>
      </c>
      <c r="D31" s="136">
        <v>0</v>
      </c>
      <c r="E31" s="188">
        <f t="shared" si="1"/>
        <v>0</v>
      </c>
      <c r="F31" s="136">
        <f t="shared" si="2"/>
        <v>3750</v>
      </c>
      <c r="G31" s="131"/>
      <c r="H31" s="136">
        <f t="shared" si="3"/>
        <v>3750</v>
      </c>
      <c r="I31" s="195">
        <f>-FISCAL!O31-AJ31</f>
        <v>-45.13</v>
      </c>
      <c r="J31" s="141">
        <f t="shared" si="4"/>
        <v>75</v>
      </c>
      <c r="K31" s="141">
        <f t="shared" si="5"/>
        <v>281.25</v>
      </c>
      <c r="L31" s="136">
        <f t="shared" si="6"/>
        <v>4061.12</v>
      </c>
      <c r="M31" s="141">
        <f t="shared" si="7"/>
        <v>649.77919999999995</v>
      </c>
      <c r="N31" s="141">
        <f t="shared" si="8"/>
        <v>4710.8991999999998</v>
      </c>
      <c r="O31" s="131"/>
      <c r="P31" s="136">
        <f t="shared" si="9"/>
        <v>0</v>
      </c>
      <c r="Q31" s="142">
        <f t="shared" si="10"/>
        <v>0</v>
      </c>
      <c r="R31" s="142">
        <f t="shared" si="11"/>
        <v>0</v>
      </c>
      <c r="S31" s="126"/>
      <c r="T31" s="178" t="str">
        <f t="shared" si="12"/>
        <v>SI</v>
      </c>
      <c r="U31" s="40" t="s">
        <v>196</v>
      </c>
      <c r="V31" s="58" t="s">
        <v>222</v>
      </c>
      <c r="W31" s="40" t="s">
        <v>223</v>
      </c>
      <c r="X31" s="43">
        <v>42310</v>
      </c>
      <c r="Y31" s="40" t="s">
        <v>224</v>
      </c>
      <c r="Z31" s="177">
        <v>0</v>
      </c>
      <c r="AA31" s="45"/>
      <c r="AB31" s="45"/>
      <c r="AC31" s="46"/>
      <c r="AD31" s="50">
        <f t="shared" si="0"/>
        <v>0</v>
      </c>
      <c r="AE31" s="57"/>
      <c r="AF31" s="89"/>
      <c r="AG31" s="47"/>
      <c r="AH31" s="47"/>
      <c r="AI31" s="47"/>
      <c r="AJ31" s="48"/>
      <c r="AK31" s="49">
        <v>0</v>
      </c>
      <c r="AL31" s="50">
        <f t="shared" si="13"/>
        <v>0</v>
      </c>
      <c r="AM31" s="51">
        <f t="shared" si="15"/>
        <v>0</v>
      </c>
      <c r="AN31" s="50">
        <f t="shared" si="14"/>
        <v>0</v>
      </c>
      <c r="AO31" s="52">
        <f t="shared" si="16"/>
        <v>0</v>
      </c>
      <c r="AP31" s="51">
        <f>+'[1]C&amp;A'!X29*0.02</f>
        <v>0</v>
      </c>
      <c r="AQ31" s="50">
        <f t="shared" si="17"/>
        <v>0</v>
      </c>
      <c r="AR31" s="53"/>
      <c r="AS31" s="59"/>
      <c r="AT31" s="55">
        <f t="shared" ref="AT31:AT37" si="19">+AR31+AS31-AN31</f>
        <v>0</v>
      </c>
      <c r="AU31" s="55"/>
      <c r="AV31" s="58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</row>
    <row r="32" spans="1:62">
      <c r="A32" s="2" t="s">
        <v>64</v>
      </c>
      <c r="B32" s="1" t="s">
        <v>65</v>
      </c>
      <c r="C32" s="136">
        <f>+FISCAL!H32</f>
        <v>2500.0500000000002</v>
      </c>
      <c r="D32" s="136">
        <v>0</v>
      </c>
      <c r="E32" s="188">
        <f t="shared" si="1"/>
        <v>3047.5</v>
      </c>
      <c r="F32" s="136">
        <f t="shared" si="2"/>
        <v>5547.55</v>
      </c>
      <c r="G32" s="131"/>
      <c r="H32" s="136">
        <f t="shared" si="3"/>
        <v>2500.0500000000002</v>
      </c>
      <c r="I32" s="195">
        <f>-FISCAL!O32-AJ32</f>
        <v>-45.13</v>
      </c>
      <c r="J32" s="141">
        <f t="shared" si="4"/>
        <v>50.001000000000005</v>
      </c>
      <c r="K32" s="141">
        <f t="shared" si="5"/>
        <v>187.50375</v>
      </c>
      <c r="L32" s="136">
        <f t="shared" si="6"/>
        <v>2692.4247500000001</v>
      </c>
      <c r="M32" s="141">
        <f t="shared" si="7"/>
        <v>430.78796000000006</v>
      </c>
      <c r="N32" s="141">
        <f t="shared" si="8"/>
        <v>3123.2127100000002</v>
      </c>
      <c r="O32" s="131"/>
      <c r="P32" s="136">
        <f t="shared" si="9"/>
        <v>3047.5</v>
      </c>
      <c r="Q32" s="142">
        <f t="shared" si="10"/>
        <v>487.6</v>
      </c>
      <c r="R32" s="142">
        <f t="shared" si="11"/>
        <v>3535.1</v>
      </c>
      <c r="S32" s="126"/>
      <c r="T32" s="178" t="str">
        <f t="shared" si="12"/>
        <v>SI</v>
      </c>
      <c r="U32" s="40" t="s">
        <v>196</v>
      </c>
      <c r="V32" s="58" t="s">
        <v>65</v>
      </c>
      <c r="W32" s="42" t="s">
        <v>229</v>
      </c>
      <c r="X32" s="43">
        <v>42374</v>
      </c>
      <c r="Y32" s="40" t="s">
        <v>230</v>
      </c>
      <c r="Z32" s="177">
        <f>1000+2047.5</f>
        <v>3047.5</v>
      </c>
      <c r="AA32" s="45"/>
      <c r="AB32" s="45"/>
      <c r="AC32" s="46"/>
      <c r="AD32" s="50">
        <f t="shared" si="0"/>
        <v>3047.5</v>
      </c>
      <c r="AE32" s="57"/>
      <c r="AF32" s="89"/>
      <c r="AG32" s="47"/>
      <c r="AH32" s="47"/>
      <c r="AI32" s="47"/>
      <c r="AJ32" s="48"/>
      <c r="AK32" s="49">
        <v>0</v>
      </c>
      <c r="AL32" s="50">
        <f t="shared" si="13"/>
        <v>3047.5</v>
      </c>
      <c r="AM32" s="51">
        <f t="shared" si="15"/>
        <v>0</v>
      </c>
      <c r="AN32" s="50">
        <f t="shared" si="14"/>
        <v>3047.5</v>
      </c>
      <c r="AO32" s="52">
        <f t="shared" si="16"/>
        <v>304.75</v>
      </c>
      <c r="AP32" s="51">
        <f>+'[1]C&amp;A'!X30*0.02</f>
        <v>0</v>
      </c>
      <c r="AQ32" s="50">
        <f t="shared" si="17"/>
        <v>3352.25</v>
      </c>
      <c r="AR32" s="53"/>
      <c r="AS32" s="54"/>
      <c r="AT32" s="55">
        <f t="shared" si="19"/>
        <v>-3047.5</v>
      </c>
      <c r="AU32" s="55"/>
      <c r="AV32" s="61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</row>
    <row r="33" spans="1:62">
      <c r="A33" s="2" t="s">
        <v>66</v>
      </c>
      <c r="B33" s="1" t="s">
        <v>67</v>
      </c>
      <c r="C33" s="136">
        <f>+FISCAL!H33</f>
        <v>3499.95</v>
      </c>
      <c r="D33" s="136">
        <v>0</v>
      </c>
      <c r="E33" s="188">
        <f t="shared" si="1"/>
        <v>0</v>
      </c>
      <c r="F33" s="136">
        <f t="shared" si="2"/>
        <v>3499.95</v>
      </c>
      <c r="G33" s="131"/>
      <c r="H33" s="136">
        <f t="shared" si="3"/>
        <v>3499.95</v>
      </c>
      <c r="I33" s="195">
        <f>-FISCAL!O33-AJ33</f>
        <v>-45.13</v>
      </c>
      <c r="J33" s="141">
        <f t="shared" si="4"/>
        <v>69.998999999999995</v>
      </c>
      <c r="K33" s="141">
        <f t="shared" si="5"/>
        <v>262.49624999999997</v>
      </c>
      <c r="L33" s="136">
        <f t="shared" si="6"/>
        <v>3787.3152499999997</v>
      </c>
      <c r="M33" s="141">
        <f t="shared" si="7"/>
        <v>605.97043999999994</v>
      </c>
      <c r="N33" s="141">
        <f t="shared" si="8"/>
        <v>4393.2856899999997</v>
      </c>
      <c r="O33" s="131"/>
      <c r="P33" s="136">
        <f t="shared" si="9"/>
        <v>0</v>
      </c>
      <c r="Q33" s="142">
        <f t="shared" si="10"/>
        <v>0</v>
      </c>
      <c r="R33" s="142">
        <f t="shared" si="11"/>
        <v>0</v>
      </c>
      <c r="S33" s="126"/>
      <c r="T33" s="178" t="str">
        <f t="shared" si="12"/>
        <v>SI</v>
      </c>
      <c r="U33" s="40" t="s">
        <v>196</v>
      </c>
      <c r="V33" s="58" t="s">
        <v>231</v>
      </c>
      <c r="W33" s="42"/>
      <c r="X33" s="43">
        <v>42653</v>
      </c>
      <c r="Y33" s="40" t="s">
        <v>232</v>
      </c>
      <c r="Z33" s="177">
        <v>0</v>
      </c>
      <c r="AA33" s="45"/>
      <c r="AB33" s="45"/>
      <c r="AC33" s="46"/>
      <c r="AD33" s="50">
        <f t="shared" si="0"/>
        <v>0</v>
      </c>
      <c r="AE33" s="57"/>
      <c r="AF33" s="89"/>
      <c r="AG33" s="47"/>
      <c r="AH33" s="47"/>
      <c r="AI33" s="47"/>
      <c r="AJ33" s="48"/>
      <c r="AK33" s="49">
        <v>1450</v>
      </c>
      <c r="AL33" s="50">
        <f t="shared" si="13"/>
        <v>-1450</v>
      </c>
      <c r="AM33" s="51">
        <f t="shared" si="15"/>
        <v>0</v>
      </c>
      <c r="AN33" s="50">
        <f t="shared" si="14"/>
        <v>-1450</v>
      </c>
      <c r="AO33" s="52"/>
      <c r="AP33" s="51"/>
      <c r="AQ33" s="50"/>
      <c r="AR33" s="53"/>
      <c r="AS33" s="54"/>
      <c r="AT33" s="55"/>
      <c r="AU33" s="106">
        <v>1127295456</v>
      </c>
      <c r="AV33" s="61" t="s">
        <v>317</v>
      </c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</row>
    <row r="34" spans="1:62">
      <c r="A34" s="2" t="s">
        <v>68</v>
      </c>
      <c r="B34" s="1" t="s">
        <v>69</v>
      </c>
      <c r="C34" s="136">
        <f>+FISCAL!H34</f>
        <v>3000</v>
      </c>
      <c r="D34" s="136">
        <v>0</v>
      </c>
      <c r="E34" s="188">
        <f t="shared" si="1"/>
        <v>1000</v>
      </c>
      <c r="F34" s="136">
        <f t="shared" si="2"/>
        <v>4000</v>
      </c>
      <c r="G34" s="131"/>
      <c r="H34" s="136">
        <f t="shared" si="3"/>
        <v>3000</v>
      </c>
      <c r="I34" s="195">
        <f>-FISCAL!O34-AJ34</f>
        <v>-45.13</v>
      </c>
      <c r="J34" s="141">
        <f t="shared" si="4"/>
        <v>60</v>
      </c>
      <c r="K34" s="141">
        <f t="shared" si="5"/>
        <v>225</v>
      </c>
      <c r="L34" s="136">
        <f t="shared" si="6"/>
        <v>3239.87</v>
      </c>
      <c r="M34" s="141">
        <f t="shared" si="7"/>
        <v>518.37919999999997</v>
      </c>
      <c r="N34" s="141">
        <f t="shared" si="8"/>
        <v>3758.2491999999997</v>
      </c>
      <c r="O34" s="131"/>
      <c r="P34" s="136">
        <f t="shared" si="9"/>
        <v>1000</v>
      </c>
      <c r="Q34" s="142">
        <f t="shared" si="10"/>
        <v>160</v>
      </c>
      <c r="R34" s="142">
        <f t="shared" si="11"/>
        <v>1160</v>
      </c>
      <c r="S34" s="126"/>
      <c r="T34" s="178" t="str">
        <f t="shared" si="12"/>
        <v>SI</v>
      </c>
      <c r="U34" s="58" t="s">
        <v>171</v>
      </c>
      <c r="V34" s="58" t="s">
        <v>236</v>
      </c>
      <c r="W34" s="64"/>
      <c r="X34" s="63">
        <v>42499</v>
      </c>
      <c r="Y34" s="58" t="s">
        <v>237</v>
      </c>
      <c r="Z34" s="100">
        <v>1000</v>
      </c>
      <c r="AA34" s="45"/>
      <c r="AB34" s="45"/>
      <c r="AC34" s="46"/>
      <c r="AD34" s="50">
        <f t="shared" si="0"/>
        <v>1000</v>
      </c>
      <c r="AE34" s="57"/>
      <c r="AF34" s="89"/>
      <c r="AG34" s="47"/>
      <c r="AH34" s="47"/>
      <c r="AI34" s="47"/>
      <c r="AJ34" s="48"/>
      <c r="AK34" s="49">
        <v>0</v>
      </c>
      <c r="AL34" s="50">
        <f t="shared" si="13"/>
        <v>1000</v>
      </c>
      <c r="AM34" s="51">
        <f t="shared" si="15"/>
        <v>0</v>
      </c>
      <c r="AN34" s="50">
        <f t="shared" si="14"/>
        <v>1000</v>
      </c>
      <c r="AO34" s="52">
        <f t="shared" si="16"/>
        <v>100</v>
      </c>
      <c r="AP34" s="51">
        <f>+'[1]C&amp;A'!X33*0.02</f>
        <v>0</v>
      </c>
      <c r="AQ34" s="50">
        <f t="shared" si="17"/>
        <v>1100</v>
      </c>
      <c r="AR34" s="66"/>
      <c r="AS34" s="67"/>
      <c r="AT34" s="55">
        <f t="shared" si="19"/>
        <v>-1000</v>
      </c>
      <c r="AU34" s="68"/>
      <c r="AV34" s="61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</row>
    <row r="35" spans="1:62">
      <c r="A35" s="2" t="s">
        <v>70</v>
      </c>
      <c r="B35" s="1" t="s">
        <v>71</v>
      </c>
      <c r="C35" s="136">
        <f>+FISCAL!H35</f>
        <v>2250</v>
      </c>
      <c r="D35" s="136">
        <v>0</v>
      </c>
      <c r="E35" s="188">
        <f t="shared" si="1"/>
        <v>1815</v>
      </c>
      <c r="F35" s="136">
        <f t="shared" si="2"/>
        <v>4065</v>
      </c>
      <c r="G35" s="131"/>
      <c r="H35" s="136">
        <f t="shared" si="3"/>
        <v>2250</v>
      </c>
      <c r="I35" s="195">
        <f>-FISCAL!O35-AJ35</f>
        <v>-45.13</v>
      </c>
      <c r="J35" s="141">
        <f t="shared" si="4"/>
        <v>45</v>
      </c>
      <c r="K35" s="141">
        <f t="shared" si="5"/>
        <v>168.75</v>
      </c>
      <c r="L35" s="136">
        <f t="shared" si="6"/>
        <v>2418.62</v>
      </c>
      <c r="M35" s="141">
        <f t="shared" si="7"/>
        <v>386.97919999999999</v>
      </c>
      <c r="N35" s="141">
        <f t="shared" si="8"/>
        <v>2805.5991999999997</v>
      </c>
      <c r="O35" s="131"/>
      <c r="P35" s="136">
        <f t="shared" si="9"/>
        <v>1815</v>
      </c>
      <c r="Q35" s="142">
        <f t="shared" si="10"/>
        <v>290.40000000000003</v>
      </c>
      <c r="R35" s="142">
        <f t="shared" si="11"/>
        <v>2105.4</v>
      </c>
      <c r="S35" s="126"/>
      <c r="T35" s="178" t="str">
        <f t="shared" si="12"/>
        <v>SI</v>
      </c>
      <c r="U35" s="58" t="s">
        <v>174</v>
      </c>
      <c r="V35" s="58" t="s">
        <v>238</v>
      </c>
      <c r="W35" s="64" t="s">
        <v>239</v>
      </c>
      <c r="X35" s="43">
        <v>42086</v>
      </c>
      <c r="Y35" s="58" t="s">
        <v>240</v>
      </c>
      <c r="Z35" s="100">
        <v>1815</v>
      </c>
      <c r="AA35" s="45"/>
      <c r="AB35" s="45"/>
      <c r="AC35" s="46"/>
      <c r="AD35" s="50">
        <f t="shared" si="0"/>
        <v>1815</v>
      </c>
      <c r="AE35" s="57"/>
      <c r="AF35" s="89"/>
      <c r="AG35" s="47"/>
      <c r="AH35" s="47"/>
      <c r="AI35" s="47"/>
      <c r="AJ35" s="65"/>
      <c r="AK35" s="65">
        <v>0</v>
      </c>
      <c r="AL35" s="50">
        <f t="shared" si="13"/>
        <v>1815</v>
      </c>
      <c r="AM35" s="51">
        <f t="shared" si="15"/>
        <v>0</v>
      </c>
      <c r="AN35" s="50">
        <f t="shared" si="14"/>
        <v>1815</v>
      </c>
      <c r="AO35" s="52">
        <f t="shared" si="16"/>
        <v>181.5</v>
      </c>
      <c r="AP35" s="51">
        <f>+'[1]C&amp;A'!X35*0.02</f>
        <v>0</v>
      </c>
      <c r="AQ35" s="50">
        <f t="shared" si="17"/>
        <v>1996.5</v>
      </c>
      <c r="AR35" s="53"/>
      <c r="AS35" s="59"/>
      <c r="AT35" s="55">
        <f t="shared" si="19"/>
        <v>-1815</v>
      </c>
      <c r="AU35" s="55"/>
      <c r="AV35" s="61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</row>
    <row r="36" spans="1:62">
      <c r="A36" s="2" t="s">
        <v>72</v>
      </c>
      <c r="B36" s="1" t="s">
        <v>73</v>
      </c>
      <c r="C36" s="136">
        <f>+FISCAL!H36</f>
        <v>0</v>
      </c>
      <c r="D36" s="136">
        <v>0</v>
      </c>
      <c r="E36" s="188">
        <f t="shared" si="1"/>
        <v>0</v>
      </c>
      <c r="F36" s="136">
        <f t="shared" si="2"/>
        <v>0</v>
      </c>
      <c r="G36" s="131"/>
      <c r="H36" s="136">
        <f t="shared" si="3"/>
        <v>0</v>
      </c>
      <c r="I36" s="195">
        <f>-FISCAL!O36-AJ36</f>
        <v>0</v>
      </c>
      <c r="J36" s="141">
        <f t="shared" si="4"/>
        <v>0</v>
      </c>
      <c r="K36" s="141">
        <f t="shared" si="5"/>
        <v>0</v>
      </c>
      <c r="L36" s="136">
        <f t="shared" si="6"/>
        <v>0</v>
      </c>
      <c r="M36" s="141">
        <f t="shared" si="7"/>
        <v>0</v>
      </c>
      <c r="N36" s="141">
        <f t="shared" si="8"/>
        <v>0</v>
      </c>
      <c r="O36" s="131"/>
      <c r="P36" s="136">
        <f t="shared" si="9"/>
        <v>0</v>
      </c>
      <c r="Q36" s="142">
        <f t="shared" si="10"/>
        <v>0</v>
      </c>
      <c r="R36" s="142">
        <f t="shared" si="11"/>
        <v>0</v>
      </c>
      <c r="S36" s="126"/>
      <c r="T36" s="178" t="str">
        <f t="shared" si="12"/>
        <v>SI</v>
      </c>
      <c r="U36" s="41" t="s">
        <v>196</v>
      </c>
      <c r="V36" s="41" t="s">
        <v>241</v>
      </c>
      <c r="W36" s="107" t="s">
        <v>242</v>
      </c>
      <c r="X36" s="108">
        <v>41464</v>
      </c>
      <c r="Y36" s="41" t="s">
        <v>230</v>
      </c>
      <c r="Z36" s="109"/>
      <c r="AA36" s="110"/>
      <c r="AB36" s="110"/>
      <c r="AC36" s="115"/>
      <c r="AD36" s="116">
        <f t="shared" si="0"/>
        <v>0</v>
      </c>
      <c r="AE36" s="110"/>
      <c r="AF36" s="113"/>
      <c r="AG36" s="111"/>
      <c r="AH36" s="111"/>
      <c r="AI36" s="111"/>
      <c r="AJ36" s="117"/>
      <c r="AK36" s="112"/>
      <c r="AL36" s="116">
        <f t="shared" si="13"/>
        <v>0</v>
      </c>
      <c r="AM36" s="111">
        <f t="shared" si="15"/>
        <v>0</v>
      </c>
      <c r="AN36" s="116">
        <f t="shared" si="14"/>
        <v>0</v>
      </c>
      <c r="AO36" s="111">
        <f t="shared" si="16"/>
        <v>0</v>
      </c>
      <c r="AP36" s="111">
        <f>+'[1]C&amp;A'!X37*0.02</f>
        <v>0</v>
      </c>
      <c r="AQ36" s="116">
        <f t="shared" si="17"/>
        <v>0</v>
      </c>
      <c r="AR36" s="118"/>
      <c r="AS36" s="119"/>
      <c r="AT36" s="120">
        <f t="shared" si="19"/>
        <v>0</v>
      </c>
      <c r="AU36" s="120"/>
      <c r="AV36" s="230" t="s">
        <v>243</v>
      </c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</row>
    <row r="37" spans="1:62" ht="15.75" customHeight="1">
      <c r="A37" s="2" t="s">
        <v>74</v>
      </c>
      <c r="B37" s="1" t="s">
        <v>75</v>
      </c>
      <c r="C37" s="136">
        <f>+FISCAL!H37</f>
        <v>1750.05</v>
      </c>
      <c r="D37" s="136">
        <v>0</v>
      </c>
      <c r="E37" s="188">
        <f t="shared" si="1"/>
        <v>6175.72</v>
      </c>
      <c r="F37" s="136">
        <f t="shared" si="2"/>
        <v>7925.77</v>
      </c>
      <c r="G37" s="131"/>
      <c r="H37" s="136">
        <f t="shared" si="3"/>
        <v>1750.05</v>
      </c>
      <c r="I37" s="195">
        <f>-FISCAL!O37-AJ37</f>
        <v>-45.13</v>
      </c>
      <c r="J37" s="141">
        <f t="shared" si="4"/>
        <v>35.000999999999998</v>
      </c>
      <c r="K37" s="141">
        <f t="shared" si="5"/>
        <v>131.25375</v>
      </c>
      <c r="L37" s="136">
        <f t="shared" si="6"/>
        <v>1871.1747499999999</v>
      </c>
      <c r="M37" s="141">
        <f t="shared" si="7"/>
        <v>299.38795999999996</v>
      </c>
      <c r="N37" s="141">
        <f t="shared" si="8"/>
        <v>2170.5627099999997</v>
      </c>
      <c r="O37" s="131"/>
      <c r="P37" s="136">
        <f t="shared" si="9"/>
        <v>6175.72</v>
      </c>
      <c r="Q37" s="142">
        <f t="shared" si="10"/>
        <v>988.11520000000007</v>
      </c>
      <c r="R37" s="142">
        <f t="shared" si="11"/>
        <v>7163.8352000000004</v>
      </c>
      <c r="S37" s="126"/>
      <c r="T37" s="178" t="str">
        <f t="shared" si="12"/>
        <v>SI</v>
      </c>
      <c r="U37" s="40" t="s">
        <v>196</v>
      </c>
      <c r="V37" s="40" t="s">
        <v>244</v>
      </c>
      <c r="W37" s="42">
        <v>56</v>
      </c>
      <c r="X37" s="43">
        <v>40033</v>
      </c>
      <c r="Y37" s="40" t="s">
        <v>245</v>
      </c>
      <c r="Z37" s="177">
        <v>6175.72</v>
      </c>
      <c r="AA37" s="45"/>
      <c r="AB37" s="45"/>
      <c r="AC37" s="46"/>
      <c r="AD37" s="50">
        <f t="shared" si="0"/>
        <v>6175.72</v>
      </c>
      <c r="AE37" s="57"/>
      <c r="AF37" s="89"/>
      <c r="AG37" s="47"/>
      <c r="AH37" s="47"/>
      <c r="AI37" s="47"/>
      <c r="AJ37" s="48"/>
      <c r="AK37" s="49">
        <v>0</v>
      </c>
      <c r="AL37" s="50">
        <f t="shared" si="13"/>
        <v>6175.72</v>
      </c>
      <c r="AM37" s="51">
        <f t="shared" si="15"/>
        <v>617.57200000000012</v>
      </c>
      <c r="AN37" s="50">
        <f t="shared" si="14"/>
        <v>5558.1480000000001</v>
      </c>
      <c r="AO37" s="52">
        <f t="shared" si="16"/>
        <v>0</v>
      </c>
      <c r="AP37" s="51">
        <f>+'[1]C&amp;A'!X38*0.02</f>
        <v>0</v>
      </c>
      <c r="AQ37" s="50">
        <f t="shared" si="17"/>
        <v>6175.72</v>
      </c>
      <c r="AR37" s="53"/>
      <c r="AS37" s="54"/>
      <c r="AT37" s="55">
        <f t="shared" si="19"/>
        <v>-5558.1480000000001</v>
      </c>
      <c r="AU37" s="55"/>
      <c r="AV37" s="58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</row>
    <row r="38" spans="1:62">
      <c r="A38" s="2" t="s">
        <v>76</v>
      </c>
      <c r="B38" s="1" t="s">
        <v>77</v>
      </c>
      <c r="C38" s="136">
        <f>+FISCAL!H38</f>
        <v>3000</v>
      </c>
      <c r="D38" s="136">
        <v>0</v>
      </c>
      <c r="E38" s="188">
        <f t="shared" si="1"/>
        <v>0</v>
      </c>
      <c r="F38" s="136">
        <f t="shared" si="2"/>
        <v>3000</v>
      </c>
      <c r="G38" s="131"/>
      <c r="H38" s="136">
        <f t="shared" si="3"/>
        <v>3000</v>
      </c>
      <c r="I38" s="195">
        <f>-FISCAL!O38-AJ38</f>
        <v>-45.13</v>
      </c>
      <c r="J38" s="141">
        <f t="shared" si="4"/>
        <v>60</v>
      </c>
      <c r="K38" s="141">
        <f t="shared" si="5"/>
        <v>225</v>
      </c>
      <c r="L38" s="136">
        <f t="shared" si="6"/>
        <v>3239.87</v>
      </c>
      <c r="M38" s="141">
        <f t="shared" si="7"/>
        <v>518.37919999999997</v>
      </c>
      <c r="N38" s="141">
        <f t="shared" si="8"/>
        <v>3758.2491999999997</v>
      </c>
      <c r="O38" s="131"/>
      <c r="P38" s="136">
        <f t="shared" si="9"/>
        <v>0</v>
      </c>
      <c r="Q38" s="142">
        <f t="shared" si="10"/>
        <v>0</v>
      </c>
      <c r="R38" s="142">
        <f t="shared" si="11"/>
        <v>0</v>
      </c>
      <c r="S38" s="126"/>
      <c r="T38" s="178" t="str">
        <f t="shared" si="12"/>
        <v>SI</v>
      </c>
      <c r="U38" s="40" t="s">
        <v>196</v>
      </c>
      <c r="V38" s="40" t="s">
        <v>246</v>
      </c>
      <c r="W38" s="42"/>
      <c r="X38" s="43">
        <v>42591</v>
      </c>
      <c r="Y38" s="40" t="s">
        <v>247</v>
      </c>
      <c r="Z38" s="177"/>
      <c r="AA38" s="45"/>
      <c r="AB38" s="45"/>
      <c r="AC38" s="46"/>
      <c r="AD38" s="50">
        <f t="shared" si="0"/>
        <v>0</v>
      </c>
      <c r="AE38" s="57"/>
      <c r="AF38" s="89"/>
      <c r="AG38" s="47"/>
      <c r="AH38" s="47"/>
      <c r="AI38" s="47"/>
      <c r="AJ38" s="48"/>
      <c r="AK38" s="49">
        <v>0</v>
      </c>
      <c r="AL38" s="50">
        <f t="shared" si="13"/>
        <v>0</v>
      </c>
      <c r="AM38" s="51"/>
      <c r="AN38" s="50">
        <f t="shared" si="14"/>
        <v>0</v>
      </c>
      <c r="AO38" s="52"/>
      <c r="AP38" s="51"/>
      <c r="AQ38" s="50"/>
      <c r="AR38" s="53"/>
      <c r="AS38" s="54"/>
      <c r="AT38" s="55"/>
      <c r="AU38" s="55"/>
      <c r="AV38" s="58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</row>
    <row r="39" spans="1:62">
      <c r="A39" s="2" t="s">
        <v>78</v>
      </c>
      <c r="B39" s="1" t="s">
        <v>79</v>
      </c>
      <c r="C39" s="136">
        <f>+FISCAL!H39</f>
        <v>2750.1</v>
      </c>
      <c r="D39" s="136">
        <v>0</v>
      </c>
      <c r="E39" s="188">
        <f t="shared" si="1"/>
        <v>5051.43</v>
      </c>
      <c r="F39" s="136">
        <f t="shared" si="2"/>
        <v>7801.5300000000007</v>
      </c>
      <c r="G39" s="131"/>
      <c r="H39" s="136">
        <f t="shared" si="3"/>
        <v>2750.1</v>
      </c>
      <c r="I39" s="195">
        <f>-FISCAL!O39-AJ39</f>
        <v>-45.13</v>
      </c>
      <c r="J39" s="141">
        <f t="shared" si="4"/>
        <v>55.002000000000002</v>
      </c>
      <c r="K39" s="141">
        <f t="shared" si="5"/>
        <v>206.25749999999999</v>
      </c>
      <c r="L39" s="136">
        <f t="shared" si="6"/>
        <v>2966.2294999999999</v>
      </c>
      <c r="M39" s="141">
        <f t="shared" si="7"/>
        <v>474.59672</v>
      </c>
      <c r="N39" s="141">
        <f t="shared" si="8"/>
        <v>3440.8262199999999</v>
      </c>
      <c r="O39" s="131"/>
      <c r="P39" s="136">
        <f t="shared" si="9"/>
        <v>5051.43</v>
      </c>
      <c r="Q39" s="142">
        <f t="shared" si="10"/>
        <v>808.22880000000009</v>
      </c>
      <c r="R39" s="142">
        <f t="shared" si="11"/>
        <v>5859.6588000000002</v>
      </c>
      <c r="S39" s="126"/>
      <c r="T39" s="178" t="str">
        <f t="shared" si="12"/>
        <v>SI</v>
      </c>
      <c r="U39" s="40" t="s">
        <v>174</v>
      </c>
      <c r="V39" s="58" t="s">
        <v>248</v>
      </c>
      <c r="W39" s="42" t="s">
        <v>249</v>
      </c>
      <c r="X39" s="43">
        <v>42275</v>
      </c>
      <c r="Y39" s="40" t="s">
        <v>221</v>
      </c>
      <c r="Z39" s="177">
        <v>5051.43</v>
      </c>
      <c r="AA39" s="45"/>
      <c r="AB39" s="45"/>
      <c r="AC39" s="46"/>
      <c r="AD39" s="50">
        <f t="shared" si="0"/>
        <v>5051.43</v>
      </c>
      <c r="AE39" s="57"/>
      <c r="AF39" s="89"/>
      <c r="AG39" s="47"/>
      <c r="AH39" s="47"/>
      <c r="AI39" s="47"/>
      <c r="AJ39" s="48"/>
      <c r="AK39" s="49">
        <v>0</v>
      </c>
      <c r="AL39" s="50">
        <f t="shared" si="13"/>
        <v>5051.43</v>
      </c>
      <c r="AM39" s="51">
        <f t="shared" ref="AM39:AM43" si="20">IF(AD39&gt;4500,AD39*0.1,0)</f>
        <v>505.14300000000003</v>
      </c>
      <c r="AN39" s="50">
        <f t="shared" si="14"/>
        <v>4546.2870000000003</v>
      </c>
      <c r="AO39" s="52">
        <f t="shared" ref="AO39:AO43" si="21">IF(AD39&lt;4500,AD39*0.1,0)</f>
        <v>0</v>
      </c>
      <c r="AP39" s="51">
        <f>+'[1]C&amp;A'!X39*0.02</f>
        <v>0</v>
      </c>
      <c r="AQ39" s="50">
        <f t="shared" ref="AQ39:AQ43" si="22">+AD39+AO39+AP39</f>
        <v>5051.43</v>
      </c>
      <c r="AR39" s="53"/>
      <c r="AS39" s="59"/>
      <c r="AT39" s="55">
        <f t="shared" ref="AT39:AT43" si="23">+AR39+AS39-AN39</f>
        <v>-4546.2870000000003</v>
      </c>
      <c r="AU39" s="55"/>
      <c r="AV39" s="69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</row>
    <row r="40" spans="1:62" ht="20.25" customHeight="1">
      <c r="A40" s="2" t="s">
        <v>80</v>
      </c>
      <c r="B40" s="1" t="s">
        <v>81</v>
      </c>
      <c r="C40" s="136">
        <f>+FISCAL!H40</f>
        <v>3750</v>
      </c>
      <c r="D40" s="136">
        <v>0</v>
      </c>
      <c r="E40" s="188">
        <f t="shared" si="1"/>
        <v>25366.799999999999</v>
      </c>
      <c r="F40" s="136">
        <f t="shared" si="2"/>
        <v>29116.799999999999</v>
      </c>
      <c r="G40" s="131"/>
      <c r="H40" s="136">
        <f t="shared" si="3"/>
        <v>3750</v>
      </c>
      <c r="I40" s="195">
        <f>-FISCAL!O40-AJ40</f>
        <v>-45.13</v>
      </c>
      <c r="J40" s="141">
        <f t="shared" si="4"/>
        <v>75</v>
      </c>
      <c r="K40" s="141">
        <f t="shared" si="5"/>
        <v>281.25</v>
      </c>
      <c r="L40" s="136">
        <f t="shared" si="6"/>
        <v>4061.12</v>
      </c>
      <c r="M40" s="141">
        <f t="shared" si="7"/>
        <v>649.77919999999995</v>
      </c>
      <c r="N40" s="141">
        <f t="shared" si="8"/>
        <v>4710.8991999999998</v>
      </c>
      <c r="O40" s="131"/>
      <c r="P40" s="136">
        <f t="shared" si="9"/>
        <v>25366.799999999999</v>
      </c>
      <c r="Q40" s="142">
        <f t="shared" si="10"/>
        <v>4058.6880000000001</v>
      </c>
      <c r="R40" s="142">
        <f t="shared" si="11"/>
        <v>29425.487999999998</v>
      </c>
      <c r="S40" s="126"/>
      <c r="T40" s="178" t="str">
        <f t="shared" si="12"/>
        <v>SI</v>
      </c>
      <c r="U40" s="40" t="s">
        <v>196</v>
      </c>
      <c r="V40" s="40" t="s">
        <v>250</v>
      </c>
      <c r="W40" s="40">
        <v>23</v>
      </c>
      <c r="X40" s="43">
        <v>39114</v>
      </c>
      <c r="Y40" s="40" t="s">
        <v>251</v>
      </c>
      <c r="Z40" s="177">
        <v>25366.799999999999</v>
      </c>
      <c r="AA40" s="45"/>
      <c r="AB40" s="45"/>
      <c r="AC40" s="46"/>
      <c r="AD40" s="50">
        <f t="shared" si="0"/>
        <v>25366.799999999999</v>
      </c>
      <c r="AE40" s="216">
        <v>870.58</v>
      </c>
      <c r="AF40" s="89"/>
      <c r="AG40" s="47"/>
      <c r="AH40" s="47"/>
      <c r="AI40" s="47"/>
      <c r="AJ40" s="48"/>
      <c r="AK40" s="49">
        <v>357.22</v>
      </c>
      <c r="AL40" s="50">
        <f t="shared" si="13"/>
        <v>24139</v>
      </c>
      <c r="AM40" s="51">
        <f t="shared" si="20"/>
        <v>2536.6800000000003</v>
      </c>
      <c r="AN40" s="50">
        <f t="shared" si="14"/>
        <v>21602.32</v>
      </c>
      <c r="AO40" s="52">
        <f t="shared" si="21"/>
        <v>0</v>
      </c>
      <c r="AP40" s="51">
        <f>+'[1]C&amp;A'!X40*0.02</f>
        <v>0</v>
      </c>
      <c r="AQ40" s="50">
        <f t="shared" si="22"/>
        <v>25366.799999999999</v>
      </c>
      <c r="AR40" s="53"/>
      <c r="AS40" s="70"/>
      <c r="AT40" s="55">
        <f t="shared" si="23"/>
        <v>-21602.32</v>
      </c>
      <c r="AU40" s="55"/>
      <c r="AV40" s="58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</row>
    <row r="41" spans="1:62">
      <c r="A41" s="2" t="s">
        <v>82</v>
      </c>
      <c r="B41" s="1" t="s">
        <v>83</v>
      </c>
      <c r="C41" s="136">
        <f>+FISCAL!H41</f>
        <v>2000.1</v>
      </c>
      <c r="D41" s="136">
        <v>0</v>
      </c>
      <c r="E41" s="188">
        <f t="shared" si="1"/>
        <v>0</v>
      </c>
      <c r="F41" s="136">
        <f t="shared" si="2"/>
        <v>2000.1</v>
      </c>
      <c r="G41" s="131"/>
      <c r="H41" s="136">
        <f t="shared" si="3"/>
        <v>2000.1</v>
      </c>
      <c r="I41" s="195">
        <f>-FISCAL!O41-AJ41</f>
        <v>-45.13</v>
      </c>
      <c r="J41" s="141">
        <f t="shared" si="4"/>
        <v>40.002000000000002</v>
      </c>
      <c r="K41" s="141">
        <f t="shared" si="5"/>
        <v>150.00749999999999</v>
      </c>
      <c r="L41" s="136">
        <f t="shared" si="6"/>
        <v>2144.9794999999999</v>
      </c>
      <c r="M41" s="141">
        <f t="shared" si="7"/>
        <v>343.19671999999997</v>
      </c>
      <c r="N41" s="141">
        <f t="shared" si="8"/>
        <v>2488.1762199999998</v>
      </c>
      <c r="O41" s="131"/>
      <c r="P41" s="136">
        <f t="shared" si="9"/>
        <v>0</v>
      </c>
      <c r="Q41" s="142">
        <f t="shared" si="10"/>
        <v>0</v>
      </c>
      <c r="R41" s="142">
        <f t="shared" si="11"/>
        <v>0</v>
      </c>
      <c r="S41" s="126"/>
      <c r="T41" s="178" t="str">
        <f t="shared" si="12"/>
        <v>SI</v>
      </c>
      <c r="U41" s="40" t="s">
        <v>174</v>
      </c>
      <c r="V41" s="40" t="s">
        <v>252</v>
      </c>
      <c r="W41" s="40">
        <v>12</v>
      </c>
      <c r="X41" s="43">
        <v>39356</v>
      </c>
      <c r="Y41" s="40" t="s">
        <v>240</v>
      </c>
      <c r="Z41" s="177">
        <v>0</v>
      </c>
      <c r="AA41" s="45"/>
      <c r="AB41" s="45"/>
      <c r="AC41" s="46"/>
      <c r="AD41" s="50">
        <f t="shared" si="0"/>
        <v>0</v>
      </c>
      <c r="AE41" s="57"/>
      <c r="AF41" s="89"/>
      <c r="AG41" s="47"/>
      <c r="AH41" s="47"/>
      <c r="AI41" s="47"/>
      <c r="AJ41" s="48"/>
      <c r="AK41" s="49">
        <v>0</v>
      </c>
      <c r="AL41" s="50">
        <f t="shared" si="13"/>
        <v>0</v>
      </c>
      <c r="AM41" s="51">
        <f t="shared" si="20"/>
        <v>0</v>
      </c>
      <c r="AN41" s="50">
        <f t="shared" si="14"/>
        <v>0</v>
      </c>
      <c r="AO41" s="52">
        <f t="shared" si="21"/>
        <v>0</v>
      </c>
      <c r="AP41" s="51">
        <f>+'[1]C&amp;A'!X41*0.02</f>
        <v>0</v>
      </c>
      <c r="AQ41" s="50">
        <f t="shared" si="22"/>
        <v>0</v>
      </c>
      <c r="AR41" s="53"/>
      <c r="AS41" s="70"/>
      <c r="AT41" s="55">
        <f t="shared" si="23"/>
        <v>0</v>
      </c>
      <c r="AU41" s="55"/>
      <c r="AV41" s="58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</row>
    <row r="42" spans="1:62">
      <c r="A42" s="2" t="s">
        <v>84</v>
      </c>
      <c r="B42" s="1" t="s">
        <v>85</v>
      </c>
      <c r="C42" s="136">
        <f>+FISCAL!H42</f>
        <v>5500.05</v>
      </c>
      <c r="D42" s="136">
        <v>0</v>
      </c>
      <c r="E42" s="188">
        <f t="shared" si="1"/>
        <v>1500</v>
      </c>
      <c r="F42" s="136">
        <f t="shared" si="2"/>
        <v>7000.05</v>
      </c>
      <c r="G42" s="131"/>
      <c r="H42" s="136">
        <f t="shared" si="3"/>
        <v>5500.05</v>
      </c>
      <c r="I42" s="195">
        <f>-FISCAL!O42-AJ42</f>
        <v>-45.13</v>
      </c>
      <c r="J42" s="141">
        <f t="shared" si="4"/>
        <v>110.001</v>
      </c>
      <c r="K42" s="141">
        <f t="shared" si="5"/>
        <v>412.50375000000003</v>
      </c>
      <c r="L42" s="136">
        <f t="shared" si="6"/>
        <v>5977.4247500000001</v>
      </c>
      <c r="M42" s="141">
        <f t="shared" si="7"/>
        <v>956.38796000000002</v>
      </c>
      <c r="N42" s="141">
        <f t="shared" si="8"/>
        <v>6933.8127100000002</v>
      </c>
      <c r="O42" s="131"/>
      <c r="P42" s="136">
        <f t="shared" si="9"/>
        <v>1500</v>
      </c>
      <c r="Q42" s="142">
        <f t="shared" si="10"/>
        <v>240</v>
      </c>
      <c r="R42" s="142">
        <f t="shared" si="11"/>
        <v>1740</v>
      </c>
      <c r="S42" s="126"/>
      <c r="T42" s="178" t="str">
        <f t="shared" si="12"/>
        <v>SI</v>
      </c>
      <c r="U42" s="58" t="s">
        <v>171</v>
      </c>
      <c r="V42" s="103" t="s">
        <v>85</v>
      </c>
      <c r="W42" s="74" t="s">
        <v>253</v>
      </c>
      <c r="X42" s="43">
        <v>42325</v>
      </c>
      <c r="Y42" s="40" t="s">
        <v>254</v>
      </c>
      <c r="Z42" s="100">
        <v>1500</v>
      </c>
      <c r="AA42" s="58"/>
      <c r="AB42" s="45"/>
      <c r="AC42" s="46"/>
      <c r="AD42" s="50">
        <f t="shared" si="0"/>
        <v>1500</v>
      </c>
      <c r="AE42" s="57"/>
      <c r="AF42" s="89"/>
      <c r="AG42" s="47"/>
      <c r="AH42" s="47"/>
      <c r="AI42" s="47"/>
      <c r="AJ42" s="65"/>
      <c r="AK42" s="65">
        <v>0</v>
      </c>
      <c r="AL42" s="50">
        <f t="shared" si="13"/>
        <v>1500</v>
      </c>
      <c r="AM42" s="51">
        <f t="shared" si="20"/>
        <v>0</v>
      </c>
      <c r="AN42" s="50">
        <f t="shared" si="14"/>
        <v>1500</v>
      </c>
      <c r="AO42" s="52">
        <f t="shared" si="21"/>
        <v>150</v>
      </c>
      <c r="AP42" s="51"/>
      <c r="AQ42" s="50"/>
      <c r="AR42" s="53"/>
      <c r="AS42" s="70"/>
      <c r="AT42" s="55"/>
      <c r="AU42" s="55"/>
      <c r="AV42" s="58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</row>
    <row r="43" spans="1:62" ht="18.75" customHeight="1">
      <c r="A43" s="2" t="s">
        <v>86</v>
      </c>
      <c r="B43" s="1" t="s">
        <v>87</v>
      </c>
      <c r="C43" s="136">
        <f>+FISCAL!H43</f>
        <v>7500</v>
      </c>
      <c r="D43" s="136">
        <v>0</v>
      </c>
      <c r="E43" s="188">
        <f t="shared" si="1"/>
        <v>22819.09</v>
      </c>
      <c r="F43" s="136">
        <f t="shared" si="2"/>
        <v>30319.09</v>
      </c>
      <c r="G43" s="131"/>
      <c r="H43" s="136">
        <f t="shared" si="3"/>
        <v>7500</v>
      </c>
      <c r="I43" s="195">
        <f>-FISCAL!O43-AJ43</f>
        <v>-45.13</v>
      </c>
      <c r="J43" s="141">
        <f t="shared" si="4"/>
        <v>150</v>
      </c>
      <c r="K43" s="141">
        <f t="shared" si="5"/>
        <v>562.5</v>
      </c>
      <c r="L43" s="136">
        <f t="shared" si="6"/>
        <v>8167.37</v>
      </c>
      <c r="M43" s="141">
        <f t="shared" si="7"/>
        <v>1306.7791999999999</v>
      </c>
      <c r="N43" s="141">
        <f t="shared" si="8"/>
        <v>9474.1491999999998</v>
      </c>
      <c r="O43" s="131"/>
      <c r="P43" s="136">
        <f t="shared" si="9"/>
        <v>22819.09</v>
      </c>
      <c r="Q43" s="142">
        <f t="shared" si="10"/>
        <v>3651.0544</v>
      </c>
      <c r="R43" s="142">
        <f t="shared" si="11"/>
        <v>26470.144400000001</v>
      </c>
      <c r="S43" s="126"/>
      <c r="T43" s="178" t="str">
        <f t="shared" si="12"/>
        <v>SI</v>
      </c>
      <c r="U43" s="40" t="s">
        <v>257</v>
      </c>
      <c r="V43" s="40" t="s">
        <v>258</v>
      </c>
      <c r="W43" s="42">
        <v>9</v>
      </c>
      <c r="X43" s="43">
        <v>39814</v>
      </c>
      <c r="Y43" s="40" t="s">
        <v>257</v>
      </c>
      <c r="Z43" s="177">
        <v>22819.09</v>
      </c>
      <c r="AA43" s="45"/>
      <c r="AB43" s="45"/>
      <c r="AC43" s="46"/>
      <c r="AD43" s="50">
        <f t="shared" ref="AD43" si="24">SUM(Z43:AB43)-AC43</f>
        <v>22819.09</v>
      </c>
      <c r="AE43" s="57"/>
      <c r="AF43" s="89"/>
      <c r="AG43" s="47"/>
      <c r="AH43" s="47"/>
      <c r="AI43" s="47"/>
      <c r="AJ43" s="48"/>
      <c r="AK43" s="49">
        <v>905</v>
      </c>
      <c r="AL43" s="50">
        <f t="shared" si="13"/>
        <v>21914.09</v>
      </c>
      <c r="AM43" s="51">
        <f t="shared" si="20"/>
        <v>2281.9090000000001</v>
      </c>
      <c r="AN43" s="50">
        <f t="shared" si="14"/>
        <v>19632.181</v>
      </c>
      <c r="AO43" s="52">
        <f t="shared" si="21"/>
        <v>0</v>
      </c>
      <c r="AP43" s="51">
        <f>+'[1]C&amp;A'!X44*0.02</f>
        <v>0</v>
      </c>
      <c r="AQ43" s="50">
        <f t="shared" si="22"/>
        <v>22819.09</v>
      </c>
      <c r="AR43" s="53"/>
      <c r="AS43" s="59"/>
      <c r="AT43" s="55">
        <f t="shared" si="23"/>
        <v>-19632.181</v>
      </c>
      <c r="AU43" s="55"/>
      <c r="AV43" s="58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</row>
    <row r="44" spans="1:62">
      <c r="A44" s="2" t="s">
        <v>88</v>
      </c>
      <c r="B44" s="1" t="s">
        <v>89</v>
      </c>
      <c r="C44" s="136">
        <f>+FISCAL!H44</f>
        <v>2600</v>
      </c>
      <c r="D44" s="136">
        <v>0</v>
      </c>
      <c r="E44" s="188">
        <f t="shared" si="1"/>
        <v>1000</v>
      </c>
      <c r="F44" s="136">
        <f t="shared" si="2"/>
        <v>3600</v>
      </c>
      <c r="G44" s="131"/>
      <c r="H44" s="136">
        <f t="shared" si="3"/>
        <v>2600</v>
      </c>
      <c r="I44" s="195">
        <f>-FISCAL!O44-AJ44</f>
        <v>-45.13</v>
      </c>
      <c r="J44" s="141">
        <f t="shared" si="4"/>
        <v>52</v>
      </c>
      <c r="K44" s="141">
        <f t="shared" si="5"/>
        <v>195</v>
      </c>
      <c r="L44" s="136">
        <f t="shared" si="6"/>
        <v>2801.87</v>
      </c>
      <c r="M44" s="141">
        <f t="shared" si="7"/>
        <v>448.29919999999998</v>
      </c>
      <c r="N44" s="141">
        <f t="shared" si="8"/>
        <v>3250.1691999999998</v>
      </c>
      <c r="O44" s="131"/>
      <c r="P44" s="136">
        <f t="shared" si="9"/>
        <v>1000</v>
      </c>
      <c r="Q44" s="142">
        <f t="shared" si="10"/>
        <v>160</v>
      </c>
      <c r="R44" s="142">
        <f t="shared" si="11"/>
        <v>1160</v>
      </c>
      <c r="S44" s="126"/>
      <c r="T44" s="178" t="str">
        <f t="shared" si="12"/>
        <v>SI</v>
      </c>
      <c r="U44" s="40" t="s">
        <v>174</v>
      </c>
      <c r="V44" s="58" t="s">
        <v>262</v>
      </c>
      <c r="W44" s="42" t="s">
        <v>263</v>
      </c>
      <c r="X44" s="43">
        <v>42222</v>
      </c>
      <c r="Y44" s="40" t="s">
        <v>264</v>
      </c>
      <c r="Z44" s="177">
        <v>1000</v>
      </c>
      <c r="AA44" s="45"/>
      <c r="AB44" s="45"/>
      <c r="AC44" s="46"/>
      <c r="AD44" s="50">
        <f t="shared" ref="AD44:AD53" si="25">SUM(Z44:AB44)-AC44</f>
        <v>1000</v>
      </c>
      <c r="AE44" s="57"/>
      <c r="AF44" s="89"/>
      <c r="AG44" s="47"/>
      <c r="AH44" s="47"/>
      <c r="AI44" s="47"/>
      <c r="AJ44" s="48"/>
      <c r="AK44" s="49">
        <v>0</v>
      </c>
      <c r="AL44" s="50">
        <f>+AD44-SUM(AE44:AK44)</f>
        <v>1000</v>
      </c>
      <c r="AM44" s="51">
        <f>IF(AD44&gt;4500,AD44*0.1,0)</f>
        <v>0</v>
      </c>
      <c r="AN44" s="50">
        <f t="shared" ref="AN44:AN53" si="26">+AL44-AM44</f>
        <v>1000</v>
      </c>
      <c r="AO44" s="52">
        <f>IF(AD44&lt;4500,AD44*0.1,0)</f>
        <v>100</v>
      </c>
      <c r="AP44" s="51">
        <f>+'[1]C&amp;A'!X52*0.02</f>
        <v>0</v>
      </c>
      <c r="AQ44" s="50">
        <f>+AD44+AO44+AP44</f>
        <v>1100</v>
      </c>
      <c r="AR44" s="53"/>
      <c r="AS44" s="59"/>
      <c r="AT44" s="55">
        <f>+AR44+AS44-AN44</f>
        <v>-1000</v>
      </c>
      <c r="AU44" s="55"/>
      <c r="AV44" s="61" t="s">
        <v>318</v>
      </c>
      <c r="AW44" s="33"/>
      <c r="AX44" s="33"/>
      <c r="AY44" s="33"/>
      <c r="AZ44" s="33"/>
      <c r="BA44" s="33"/>
      <c r="BB44" s="33"/>
      <c r="BC44" s="33"/>
      <c r="BD44" s="33"/>
      <c r="BE44" s="33"/>
      <c r="BG44" s="33"/>
      <c r="BH44" s="33"/>
      <c r="BI44" s="33"/>
      <c r="BJ44" s="33"/>
    </row>
    <row r="45" spans="1:62">
      <c r="A45" s="2" t="s">
        <v>90</v>
      </c>
      <c r="B45" s="1" t="s">
        <v>91</v>
      </c>
      <c r="C45" s="136">
        <f>+FISCAL!H45</f>
        <v>2000.1</v>
      </c>
      <c r="D45" s="136">
        <v>0</v>
      </c>
      <c r="E45" s="188">
        <f t="shared" si="1"/>
        <v>15211.13</v>
      </c>
      <c r="F45" s="136">
        <f t="shared" si="2"/>
        <v>17211.23</v>
      </c>
      <c r="G45" s="131"/>
      <c r="H45" s="136">
        <f t="shared" si="3"/>
        <v>2000.1</v>
      </c>
      <c r="I45" s="195">
        <f>-FISCAL!O45-AJ45</f>
        <v>-45.13</v>
      </c>
      <c r="J45" s="141">
        <f t="shared" si="4"/>
        <v>40.002000000000002</v>
      </c>
      <c r="K45" s="141">
        <f t="shared" si="5"/>
        <v>150.00749999999999</v>
      </c>
      <c r="L45" s="136">
        <f t="shared" si="6"/>
        <v>2144.9794999999999</v>
      </c>
      <c r="M45" s="141">
        <f t="shared" si="7"/>
        <v>343.19671999999997</v>
      </c>
      <c r="N45" s="141">
        <f t="shared" si="8"/>
        <v>2488.1762199999998</v>
      </c>
      <c r="O45" s="131"/>
      <c r="P45" s="136">
        <f t="shared" si="9"/>
        <v>15211.13</v>
      </c>
      <c r="Q45" s="142">
        <f t="shared" si="10"/>
        <v>2433.7808</v>
      </c>
      <c r="R45" s="142">
        <f t="shared" si="11"/>
        <v>17644.910799999998</v>
      </c>
      <c r="S45" s="126"/>
      <c r="T45" s="178" t="str">
        <f t="shared" si="12"/>
        <v>SI</v>
      </c>
      <c r="U45" s="40" t="s">
        <v>174</v>
      </c>
      <c r="V45" s="40" t="s">
        <v>268</v>
      </c>
      <c r="W45" s="42" t="s">
        <v>269</v>
      </c>
      <c r="X45" s="43">
        <v>41428</v>
      </c>
      <c r="Y45" s="40" t="s">
        <v>270</v>
      </c>
      <c r="Z45" s="177">
        <v>15211.13</v>
      </c>
      <c r="AA45" s="45"/>
      <c r="AB45" s="45"/>
      <c r="AC45" s="46"/>
      <c r="AD45" s="50">
        <f t="shared" si="25"/>
        <v>15211.13</v>
      </c>
      <c r="AE45" s="57"/>
      <c r="AF45" s="89"/>
      <c r="AG45" s="47"/>
      <c r="AH45" s="47"/>
      <c r="AI45" s="47"/>
      <c r="AJ45" s="48"/>
      <c r="AK45" s="49">
        <v>0</v>
      </c>
      <c r="AL45" s="50">
        <f>+AD45-SUM(AE45:AK45)</f>
        <v>15211.13</v>
      </c>
      <c r="AM45" s="51">
        <f>IF(AD45&gt;4500,AD45*0.1,0)</f>
        <v>1521.1130000000001</v>
      </c>
      <c r="AN45" s="50">
        <f t="shared" si="26"/>
        <v>13690.017</v>
      </c>
      <c r="AO45" s="52">
        <f>IF(AD45&lt;4500,AD45*0.1,0)</f>
        <v>0</v>
      </c>
      <c r="AP45" s="51">
        <f>+'[1]C&amp;A'!X54*0.02</f>
        <v>0</v>
      </c>
      <c r="AQ45" s="50">
        <f>+AD45+AO45+AP45</f>
        <v>15211.13</v>
      </c>
      <c r="AR45" s="53"/>
      <c r="AS45" s="54"/>
      <c r="AT45" s="55">
        <f>+AR45+AS45-AN45</f>
        <v>-13690.017</v>
      </c>
      <c r="AU45" s="55"/>
      <c r="AV45" s="58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J45" s="33"/>
    </row>
    <row r="46" spans="1:62">
      <c r="A46" s="2" t="s">
        <v>92</v>
      </c>
      <c r="B46" s="1" t="s">
        <v>93</v>
      </c>
      <c r="C46" s="136">
        <f>+FISCAL!H46</f>
        <v>7000.05</v>
      </c>
      <c r="D46" s="143">
        <v>0</v>
      </c>
      <c r="E46" s="188">
        <f t="shared" si="1"/>
        <v>15707.8</v>
      </c>
      <c r="F46" s="136">
        <f t="shared" si="2"/>
        <v>22707.85</v>
      </c>
      <c r="G46" s="144"/>
      <c r="H46" s="136">
        <f t="shared" si="3"/>
        <v>7000.05</v>
      </c>
      <c r="I46" s="195">
        <f>-FISCAL!O46-AJ46</f>
        <v>-480.13</v>
      </c>
      <c r="J46" s="141">
        <f t="shared" si="4"/>
        <v>140.001</v>
      </c>
      <c r="K46" s="141">
        <f t="shared" si="5"/>
        <v>525.00374999999997</v>
      </c>
      <c r="L46" s="136">
        <f t="shared" si="6"/>
        <v>7184.9247500000001</v>
      </c>
      <c r="M46" s="141">
        <f t="shared" si="7"/>
        <v>1149.5879600000001</v>
      </c>
      <c r="N46" s="141">
        <f t="shared" si="8"/>
        <v>8334.5127100000009</v>
      </c>
      <c r="O46" s="145"/>
      <c r="P46" s="136">
        <f t="shared" si="9"/>
        <v>15707.8</v>
      </c>
      <c r="Q46" s="142">
        <f t="shared" si="10"/>
        <v>2513.248</v>
      </c>
      <c r="R46" s="142">
        <f t="shared" si="11"/>
        <v>18221.047999999999</v>
      </c>
      <c r="S46" s="126"/>
      <c r="T46" s="178" t="str">
        <f t="shared" si="12"/>
        <v>SI</v>
      </c>
      <c r="U46" s="40" t="s">
        <v>271</v>
      </c>
      <c r="V46" s="40" t="s">
        <v>272</v>
      </c>
      <c r="W46" s="42">
        <v>8</v>
      </c>
      <c r="X46" s="43">
        <v>39608</v>
      </c>
      <c r="Y46" s="40" t="s">
        <v>273</v>
      </c>
      <c r="Z46" s="177">
        <v>15707.8</v>
      </c>
      <c r="AA46" s="45"/>
      <c r="AB46" s="45"/>
      <c r="AC46" s="46"/>
      <c r="AD46" s="50">
        <f t="shared" si="25"/>
        <v>15707.8</v>
      </c>
      <c r="AE46" s="57"/>
      <c r="AF46" s="89"/>
      <c r="AG46" s="47"/>
      <c r="AH46" s="47"/>
      <c r="AI46" s="47"/>
      <c r="AJ46" s="48">
        <v>435</v>
      </c>
      <c r="AK46" s="49">
        <v>0</v>
      </c>
      <c r="AL46" s="50">
        <f>+AD46-SUM(AE46:AK46)</f>
        <v>15272.8</v>
      </c>
      <c r="AM46" s="51">
        <f>IF(AD46&gt;4500,AD46*0.1,0)</f>
        <v>1570.78</v>
      </c>
      <c r="AN46" s="50">
        <f t="shared" si="26"/>
        <v>13702.019999999999</v>
      </c>
      <c r="AO46" s="52">
        <f>IF(AD46&lt;4500,AD46*0.1,0)</f>
        <v>0</v>
      </c>
      <c r="AP46" s="51">
        <f>+'[1]C&amp;A'!X55*0.02</f>
        <v>0</v>
      </c>
      <c r="AQ46" s="50">
        <f>+AD46+AO46+AP46</f>
        <v>15707.8</v>
      </c>
      <c r="AR46" s="53"/>
      <c r="AS46" s="59"/>
      <c r="AT46" s="55">
        <f>+AR46+AS46-AN46</f>
        <v>-13702.019999999999</v>
      </c>
      <c r="AU46" s="55"/>
      <c r="AV46" s="61"/>
      <c r="AW46" s="33"/>
      <c r="AX46" s="33"/>
      <c r="AY46" s="33"/>
      <c r="AZ46" s="33"/>
      <c r="BA46" s="33"/>
      <c r="BB46" s="33"/>
      <c r="BC46" s="33"/>
      <c r="BD46" s="33"/>
      <c r="BE46" s="33"/>
      <c r="BF46" s="56"/>
      <c r="BG46" s="56"/>
      <c r="BJ46" s="33"/>
    </row>
    <row r="47" spans="1:62">
      <c r="A47" s="2" t="s">
        <v>94</v>
      </c>
      <c r="B47" s="1" t="s">
        <v>95</v>
      </c>
      <c r="C47" s="136">
        <f>+FISCAL!H47</f>
        <v>6250.05</v>
      </c>
      <c r="D47" s="136">
        <v>0</v>
      </c>
      <c r="E47" s="188">
        <f t="shared" si="1"/>
        <v>6250</v>
      </c>
      <c r="F47" s="136">
        <f t="shared" si="2"/>
        <v>12500.05</v>
      </c>
      <c r="G47" s="131"/>
      <c r="H47" s="136">
        <f t="shared" si="3"/>
        <v>6250.05</v>
      </c>
      <c r="I47" s="195">
        <f>-FISCAL!O47-AJ47</f>
        <v>-45.13</v>
      </c>
      <c r="J47" s="141">
        <f t="shared" si="4"/>
        <v>125.001</v>
      </c>
      <c r="K47" s="141">
        <f t="shared" si="5"/>
        <v>468.75374999999997</v>
      </c>
      <c r="L47" s="136">
        <f t="shared" si="6"/>
        <v>6798.6747500000001</v>
      </c>
      <c r="M47" s="141">
        <f t="shared" si="7"/>
        <v>1087.7879600000001</v>
      </c>
      <c r="N47" s="141">
        <f t="shared" si="8"/>
        <v>7886.4627099999998</v>
      </c>
      <c r="O47" s="131"/>
      <c r="P47" s="136">
        <f t="shared" si="9"/>
        <v>6250</v>
      </c>
      <c r="Q47" s="142">
        <f t="shared" si="10"/>
        <v>1000</v>
      </c>
      <c r="R47" s="142">
        <f t="shared" si="11"/>
        <v>7250</v>
      </c>
      <c r="S47" s="126"/>
      <c r="T47" s="178" t="str">
        <f t="shared" si="12"/>
        <v>SI</v>
      </c>
      <c r="U47" s="40" t="s">
        <v>171</v>
      </c>
      <c r="V47" s="103" t="s">
        <v>274</v>
      </c>
      <c r="W47" s="42" t="s">
        <v>275</v>
      </c>
      <c r="X47" s="43">
        <v>41793</v>
      </c>
      <c r="Y47" s="40" t="s">
        <v>276</v>
      </c>
      <c r="Z47" s="177">
        <v>6250</v>
      </c>
      <c r="AA47" s="45"/>
      <c r="AB47" s="45"/>
      <c r="AC47" s="46"/>
      <c r="AD47" s="50">
        <f t="shared" si="25"/>
        <v>6250</v>
      </c>
      <c r="AE47" s="57"/>
      <c r="AF47" s="89"/>
      <c r="AG47" s="47"/>
      <c r="AH47" s="47"/>
      <c r="AI47" s="47"/>
      <c r="AJ47" s="48"/>
      <c r="AK47" s="49">
        <v>0</v>
      </c>
      <c r="AL47" s="50">
        <f>+AD47-SUM(AE47:AK47)</f>
        <v>6250</v>
      </c>
      <c r="AM47" s="51"/>
      <c r="AN47" s="50">
        <f t="shared" si="26"/>
        <v>6250</v>
      </c>
      <c r="AO47" s="52"/>
      <c r="AP47" s="51"/>
      <c r="AQ47" s="50"/>
      <c r="AR47" s="53"/>
      <c r="AS47" s="59"/>
      <c r="AT47" s="55"/>
      <c r="AU47" s="55"/>
      <c r="AV47" s="61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</row>
    <row r="48" spans="1:62">
      <c r="A48" s="2" t="s">
        <v>96</v>
      </c>
      <c r="B48" s="1" t="s">
        <v>97</v>
      </c>
      <c r="C48" s="136">
        <f>+FISCAL!H48</f>
        <v>2250</v>
      </c>
      <c r="D48" s="136">
        <v>0</v>
      </c>
      <c r="E48" s="188">
        <f t="shared" si="1"/>
        <v>1300</v>
      </c>
      <c r="F48" s="136">
        <f t="shared" si="2"/>
        <v>3550</v>
      </c>
      <c r="G48" s="131"/>
      <c r="H48" s="136">
        <f t="shared" si="3"/>
        <v>2250</v>
      </c>
      <c r="I48" s="195">
        <f>-FISCAL!O48-AJ48</f>
        <v>-45.13</v>
      </c>
      <c r="J48" s="141">
        <f t="shared" si="4"/>
        <v>45</v>
      </c>
      <c r="K48" s="141">
        <f t="shared" si="5"/>
        <v>168.75</v>
      </c>
      <c r="L48" s="136">
        <f t="shared" si="6"/>
        <v>2418.62</v>
      </c>
      <c r="M48" s="141">
        <f t="shared" si="7"/>
        <v>386.97919999999999</v>
      </c>
      <c r="N48" s="141">
        <f t="shared" si="8"/>
        <v>2805.5991999999997</v>
      </c>
      <c r="O48" s="131"/>
      <c r="P48" s="136">
        <f t="shared" si="9"/>
        <v>1300</v>
      </c>
      <c r="Q48" s="142">
        <f t="shared" si="10"/>
        <v>208</v>
      </c>
      <c r="R48" s="142">
        <f t="shared" si="11"/>
        <v>1508</v>
      </c>
      <c r="S48" s="126"/>
      <c r="T48" s="178" t="str">
        <f t="shared" si="12"/>
        <v>SI</v>
      </c>
      <c r="U48" s="40" t="s">
        <v>174</v>
      </c>
      <c r="V48" s="40" t="s">
        <v>277</v>
      </c>
      <c r="W48" s="42"/>
      <c r="X48" s="43">
        <v>42626</v>
      </c>
      <c r="Y48" s="40" t="s">
        <v>240</v>
      </c>
      <c r="Z48" s="177">
        <v>1300</v>
      </c>
      <c r="AA48" s="45"/>
      <c r="AB48" s="45"/>
      <c r="AC48" s="46"/>
      <c r="AD48" s="50">
        <f t="shared" si="25"/>
        <v>1300</v>
      </c>
      <c r="AE48" s="57"/>
      <c r="AF48" s="89"/>
      <c r="AG48" s="47"/>
      <c r="AH48" s="47"/>
      <c r="AI48" s="47"/>
      <c r="AJ48" s="48"/>
      <c r="AK48" s="49">
        <v>0</v>
      </c>
      <c r="AL48" s="50">
        <f t="shared" ref="AL48" si="27">+AD48-SUM(AE48:AK48)</f>
        <v>1300</v>
      </c>
      <c r="AM48" s="51"/>
      <c r="AN48" s="50">
        <f t="shared" si="26"/>
        <v>1300</v>
      </c>
      <c r="AO48" s="52"/>
      <c r="AP48" s="51"/>
      <c r="AQ48" s="50"/>
      <c r="AR48" s="53"/>
      <c r="AS48" s="59"/>
      <c r="AT48" s="55"/>
      <c r="AU48" s="73">
        <v>1136601197</v>
      </c>
      <c r="AV48" s="61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</row>
    <row r="49" spans="1:62">
      <c r="A49" s="2" t="s">
        <v>98</v>
      </c>
      <c r="B49" s="1" t="s">
        <v>99</v>
      </c>
      <c r="C49" s="136">
        <f>+FISCAL!H49</f>
        <v>5868.75</v>
      </c>
      <c r="D49" s="136">
        <v>0</v>
      </c>
      <c r="E49" s="188">
        <f t="shared" si="1"/>
        <v>0</v>
      </c>
      <c r="F49" s="136">
        <f t="shared" si="2"/>
        <v>5868.75</v>
      </c>
      <c r="G49" s="131"/>
      <c r="H49" s="136">
        <f t="shared" si="3"/>
        <v>5868.75</v>
      </c>
      <c r="I49" s="195">
        <f>-FISCAL!O49-AJ49</f>
        <v>-45.13</v>
      </c>
      <c r="J49" s="141">
        <f t="shared" si="4"/>
        <v>117.375</v>
      </c>
      <c r="K49" s="141">
        <f t="shared" si="5"/>
        <v>440.15625</v>
      </c>
      <c r="L49" s="136">
        <f t="shared" si="6"/>
        <v>6381.1512499999999</v>
      </c>
      <c r="M49" s="141">
        <f t="shared" si="7"/>
        <v>1020.9842</v>
      </c>
      <c r="N49" s="141">
        <f t="shared" si="8"/>
        <v>7402.1354499999998</v>
      </c>
      <c r="O49" s="131"/>
      <c r="P49" s="136">
        <f t="shared" si="9"/>
        <v>0</v>
      </c>
      <c r="Q49" s="142">
        <f t="shared" si="10"/>
        <v>0</v>
      </c>
      <c r="R49" s="142">
        <f t="shared" si="11"/>
        <v>0</v>
      </c>
      <c r="S49" s="126"/>
      <c r="T49" s="178" t="str">
        <f t="shared" si="12"/>
        <v>SI</v>
      </c>
      <c r="U49" s="40" t="s">
        <v>196</v>
      </c>
      <c r="V49" s="40" t="s">
        <v>278</v>
      </c>
      <c r="W49" s="42"/>
      <c r="X49" s="43">
        <v>42569</v>
      </c>
      <c r="Y49" s="40" t="s">
        <v>279</v>
      </c>
      <c r="Z49" s="177">
        <v>0</v>
      </c>
      <c r="AA49" s="45"/>
      <c r="AB49" s="45"/>
      <c r="AC49" s="46"/>
      <c r="AD49" s="50">
        <f t="shared" si="25"/>
        <v>0</v>
      </c>
      <c r="AE49" s="57"/>
      <c r="AF49" s="89"/>
      <c r="AG49" s="47"/>
      <c r="AH49" s="47"/>
      <c r="AI49" s="47"/>
      <c r="AJ49" s="48"/>
      <c r="AK49" s="49">
        <v>0</v>
      </c>
      <c r="AL49" s="50">
        <f>+AD49-SUM(AE49:AK49)</f>
        <v>0</v>
      </c>
      <c r="AM49" s="51">
        <f>IF(AD49&gt;4500,AD49*0.1,0)</f>
        <v>0</v>
      </c>
      <c r="AN49" s="50">
        <f t="shared" si="26"/>
        <v>0</v>
      </c>
      <c r="AO49" s="52">
        <f>IF(AD49&lt;4500,AD49*0.1,0)</f>
        <v>0</v>
      </c>
      <c r="AP49" s="51">
        <f>+'[1]C&amp;A'!X58*0.02</f>
        <v>0</v>
      </c>
      <c r="AQ49" s="50">
        <f>+AD49+AO49+AP49</f>
        <v>0</v>
      </c>
      <c r="AR49" s="53"/>
      <c r="AS49" s="59"/>
      <c r="AT49" s="55"/>
      <c r="AU49" s="55"/>
      <c r="AV49" s="58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</row>
    <row r="50" spans="1:62">
      <c r="A50" s="2" t="s">
        <v>100</v>
      </c>
      <c r="B50" s="1" t="s">
        <v>101</v>
      </c>
      <c r="C50" s="136">
        <f>+FISCAL!H50</f>
        <v>3750</v>
      </c>
      <c r="D50" s="136">
        <v>0</v>
      </c>
      <c r="E50" s="188">
        <f t="shared" si="1"/>
        <v>13072.25</v>
      </c>
      <c r="F50" s="136">
        <f t="shared" si="2"/>
        <v>16822.25</v>
      </c>
      <c r="G50" s="131"/>
      <c r="H50" s="136">
        <f t="shared" si="3"/>
        <v>3750</v>
      </c>
      <c r="I50" s="195">
        <f>-FISCAL!O50-AJ50</f>
        <v>-45.13</v>
      </c>
      <c r="J50" s="141">
        <f t="shared" si="4"/>
        <v>75</v>
      </c>
      <c r="K50" s="141">
        <f t="shared" si="5"/>
        <v>281.25</v>
      </c>
      <c r="L50" s="136">
        <f t="shared" si="6"/>
        <v>4061.12</v>
      </c>
      <c r="M50" s="141">
        <f t="shared" si="7"/>
        <v>649.77919999999995</v>
      </c>
      <c r="N50" s="141">
        <f t="shared" si="8"/>
        <v>4710.8991999999998</v>
      </c>
      <c r="O50" s="131"/>
      <c r="P50" s="136">
        <f t="shared" si="9"/>
        <v>13072.25</v>
      </c>
      <c r="Q50" s="142">
        <f t="shared" si="10"/>
        <v>2091.56</v>
      </c>
      <c r="R50" s="142">
        <f t="shared" si="11"/>
        <v>15163.81</v>
      </c>
      <c r="S50" s="126"/>
      <c r="T50" s="178" t="str">
        <f t="shared" si="12"/>
        <v>SI</v>
      </c>
      <c r="U50" s="40" t="s">
        <v>174</v>
      </c>
      <c r="V50" s="40" t="s">
        <v>280</v>
      </c>
      <c r="W50" s="42">
        <v>18</v>
      </c>
      <c r="X50" s="43">
        <v>38733</v>
      </c>
      <c r="Y50" s="40" t="s">
        <v>281</v>
      </c>
      <c r="Z50" s="177">
        <v>13072.25</v>
      </c>
      <c r="AA50" s="45"/>
      <c r="AB50" s="45"/>
      <c r="AC50" s="46"/>
      <c r="AD50" s="50">
        <f t="shared" si="25"/>
        <v>13072.25</v>
      </c>
      <c r="AE50" s="57"/>
      <c r="AF50" s="89"/>
      <c r="AG50" s="47"/>
      <c r="AH50" s="47"/>
      <c r="AI50" s="47"/>
      <c r="AJ50" s="48"/>
      <c r="AK50" s="49">
        <v>765</v>
      </c>
      <c r="AL50" s="50">
        <f>+AD50-SUM(AE50:AK50)</f>
        <v>12307.25</v>
      </c>
      <c r="AM50" s="51">
        <f>IF(AD50&gt;4500,AD50*0.1,0)</f>
        <v>1307.2250000000001</v>
      </c>
      <c r="AN50" s="50">
        <f t="shared" si="26"/>
        <v>11000.025</v>
      </c>
      <c r="AO50" s="52">
        <f>IF(AD50&lt;4500,AD50*0.1,0)</f>
        <v>0</v>
      </c>
      <c r="AP50" s="51">
        <f>+'[1]C&amp;A'!X57*0.02</f>
        <v>0</v>
      </c>
      <c r="AQ50" s="50">
        <f>+AD50+AO50+AP50</f>
        <v>13072.25</v>
      </c>
      <c r="AR50" s="53"/>
      <c r="AS50" s="59"/>
      <c r="AT50" s="55">
        <f>+AR50+AS50-AN50</f>
        <v>-11000.025</v>
      </c>
      <c r="AU50" s="55"/>
      <c r="AV50" s="58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</row>
    <row r="51" spans="1:62">
      <c r="A51" s="2" t="s">
        <v>102</v>
      </c>
      <c r="B51" s="1" t="s">
        <v>103</v>
      </c>
      <c r="C51" s="136">
        <f>+FISCAL!H51</f>
        <v>5868.6</v>
      </c>
      <c r="D51" s="136">
        <v>0</v>
      </c>
      <c r="E51" s="188">
        <f t="shared" si="1"/>
        <v>6730.07</v>
      </c>
      <c r="F51" s="136">
        <f t="shared" si="2"/>
        <v>12598.67</v>
      </c>
      <c r="G51" s="131"/>
      <c r="H51" s="136">
        <f t="shared" si="3"/>
        <v>5868.6</v>
      </c>
      <c r="I51" s="195">
        <f>-FISCAL!O51-AJ51</f>
        <v>-45.13</v>
      </c>
      <c r="J51" s="141">
        <f t="shared" si="4"/>
        <v>117.37200000000001</v>
      </c>
      <c r="K51" s="141">
        <f t="shared" si="5"/>
        <v>440.14500000000004</v>
      </c>
      <c r="L51" s="136">
        <f t="shared" si="6"/>
        <v>6380.987000000001</v>
      </c>
      <c r="M51" s="141">
        <f t="shared" si="7"/>
        <v>1020.9579200000002</v>
      </c>
      <c r="N51" s="141">
        <f t="shared" si="8"/>
        <v>7401.9449200000008</v>
      </c>
      <c r="O51" s="131"/>
      <c r="P51" s="136">
        <f t="shared" si="9"/>
        <v>6730.07</v>
      </c>
      <c r="Q51" s="142">
        <f t="shared" si="10"/>
        <v>1076.8111999999999</v>
      </c>
      <c r="R51" s="142">
        <f t="shared" si="11"/>
        <v>7806.8811999999998</v>
      </c>
      <c r="S51" s="126"/>
      <c r="T51" s="178" t="str">
        <f t="shared" si="12"/>
        <v>SI</v>
      </c>
      <c r="U51" s="40" t="s">
        <v>271</v>
      </c>
      <c r="V51" s="40" t="s">
        <v>282</v>
      </c>
      <c r="W51" s="42"/>
      <c r="X51" s="43">
        <v>42608</v>
      </c>
      <c r="Y51" s="40" t="s">
        <v>283</v>
      </c>
      <c r="Z51" s="177">
        <v>6730.07</v>
      </c>
      <c r="AA51" s="45"/>
      <c r="AB51" s="45"/>
      <c r="AC51" s="46"/>
      <c r="AD51" s="50">
        <f t="shared" si="25"/>
        <v>6730.07</v>
      </c>
      <c r="AE51" s="57"/>
      <c r="AF51" s="89"/>
      <c r="AG51" s="47"/>
      <c r="AH51" s="47"/>
      <c r="AI51" s="47"/>
      <c r="AJ51" s="48"/>
      <c r="AK51" s="49">
        <v>0</v>
      </c>
      <c r="AL51" s="50">
        <f t="shared" ref="AL51" si="28">+AD51-SUM(AE51:AK51)</f>
        <v>6730.07</v>
      </c>
      <c r="AM51" s="51">
        <f>IF(AD51&gt;4500,AD51*0.1,0)</f>
        <v>673.00700000000006</v>
      </c>
      <c r="AN51" s="50">
        <f t="shared" si="26"/>
        <v>6057.0630000000001</v>
      </c>
      <c r="AO51" s="52">
        <f>IF(AD51&lt;4500,AD51*0.1,0)</f>
        <v>0</v>
      </c>
      <c r="AP51" s="51"/>
      <c r="AQ51" s="50"/>
      <c r="AR51" s="53"/>
      <c r="AS51" s="59"/>
      <c r="AT51" s="55"/>
      <c r="AU51" s="55"/>
      <c r="AV51" s="58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</row>
    <row r="52" spans="1:62">
      <c r="A52" s="2" t="s">
        <v>104</v>
      </c>
      <c r="B52" s="1" t="s">
        <v>105</v>
      </c>
      <c r="C52" s="136">
        <f>+FISCAL!H52</f>
        <v>3750</v>
      </c>
      <c r="D52" s="136">
        <v>0</v>
      </c>
      <c r="E52" s="188">
        <f t="shared" si="1"/>
        <v>7998.44</v>
      </c>
      <c r="F52" s="136">
        <f t="shared" si="2"/>
        <v>11748.439999999999</v>
      </c>
      <c r="G52" s="131"/>
      <c r="H52" s="136">
        <f t="shared" si="3"/>
        <v>3750</v>
      </c>
      <c r="I52" s="195">
        <f>-FISCAL!O52-AJ52</f>
        <v>-45.13</v>
      </c>
      <c r="J52" s="141">
        <f t="shared" si="4"/>
        <v>75</v>
      </c>
      <c r="K52" s="141">
        <f t="shared" si="5"/>
        <v>281.25</v>
      </c>
      <c r="L52" s="136">
        <f t="shared" si="6"/>
        <v>4061.12</v>
      </c>
      <c r="M52" s="141">
        <f t="shared" si="7"/>
        <v>649.77919999999995</v>
      </c>
      <c r="N52" s="141">
        <f t="shared" si="8"/>
        <v>4710.8991999999998</v>
      </c>
      <c r="O52" s="131"/>
      <c r="P52" s="136">
        <f t="shared" si="9"/>
        <v>7998.44</v>
      </c>
      <c r="Q52" s="142">
        <f t="shared" si="10"/>
        <v>1279.7503999999999</v>
      </c>
      <c r="R52" s="142">
        <f t="shared" si="11"/>
        <v>9278.1903999999995</v>
      </c>
      <c r="S52" s="126"/>
      <c r="T52" s="178" t="str">
        <f t="shared" si="12"/>
        <v>SI</v>
      </c>
      <c r="U52" s="40" t="s">
        <v>257</v>
      </c>
      <c r="V52" s="40" t="s">
        <v>284</v>
      </c>
      <c r="W52" s="40" t="s">
        <v>285</v>
      </c>
      <c r="X52" s="43">
        <v>42321</v>
      </c>
      <c r="Y52" s="40" t="s">
        <v>257</v>
      </c>
      <c r="Z52" s="177">
        <v>7998.44</v>
      </c>
      <c r="AA52" s="45"/>
      <c r="AB52" s="45"/>
      <c r="AC52" s="46"/>
      <c r="AD52" s="50">
        <f t="shared" si="25"/>
        <v>7998.44</v>
      </c>
      <c r="AE52" s="57"/>
      <c r="AF52" s="89"/>
      <c r="AG52" s="47"/>
      <c r="AH52" s="47"/>
      <c r="AI52" s="47"/>
      <c r="AJ52" s="48"/>
      <c r="AK52" s="49">
        <v>345</v>
      </c>
      <c r="AL52" s="50">
        <f>+AD52-SUM(AE52:AK52)</f>
        <v>7653.44</v>
      </c>
      <c r="AM52" s="51">
        <f>IF(AD52&gt;4500,AD52*0.1,0)</f>
        <v>799.84400000000005</v>
      </c>
      <c r="AN52" s="50">
        <f t="shared" si="26"/>
        <v>6853.5959999999995</v>
      </c>
      <c r="AO52" s="52">
        <f>IF(AD52&lt;4500,AD52*0.1,0)</f>
        <v>0</v>
      </c>
      <c r="AP52" s="51">
        <f>+'[1]C&amp;A'!X61*0.02</f>
        <v>0</v>
      </c>
      <c r="AQ52" s="50">
        <f>+AD52+AO52+AP52</f>
        <v>7998.44</v>
      </c>
      <c r="AR52" s="53"/>
      <c r="AS52" s="54"/>
      <c r="AT52" s="55">
        <f>+AR52+AS52-AN52</f>
        <v>-6853.5959999999995</v>
      </c>
      <c r="AU52" s="55"/>
      <c r="AV52" s="58"/>
      <c r="AW52" s="33"/>
      <c r="AX52" s="33"/>
      <c r="AY52" s="71"/>
      <c r="AZ52" s="72"/>
      <c r="BA52" s="72"/>
      <c r="BB52" s="72"/>
      <c r="BC52" s="72"/>
      <c r="BD52" s="33"/>
      <c r="BE52" s="33"/>
      <c r="BF52" s="33"/>
      <c r="BG52" s="33"/>
      <c r="BH52" s="33"/>
      <c r="BI52" s="33"/>
      <c r="BJ52" s="33"/>
    </row>
    <row r="53" spans="1:62">
      <c r="A53" s="2" t="s">
        <v>106</v>
      </c>
      <c r="B53" s="1" t="s">
        <v>107</v>
      </c>
      <c r="C53" s="136">
        <f>+FISCAL!H53</f>
        <v>3250.05</v>
      </c>
      <c r="D53" s="136">
        <v>0</v>
      </c>
      <c r="E53" s="188">
        <f t="shared" si="1"/>
        <v>0</v>
      </c>
      <c r="F53" s="136">
        <f t="shared" si="2"/>
        <v>3250.05</v>
      </c>
      <c r="G53" s="134"/>
      <c r="H53" s="136">
        <f t="shared" si="3"/>
        <v>3250.05</v>
      </c>
      <c r="I53" s="195">
        <f>-FISCAL!O53-AJ53</f>
        <v>-45.13</v>
      </c>
      <c r="J53" s="141">
        <f t="shared" si="4"/>
        <v>65.001000000000005</v>
      </c>
      <c r="K53" s="141">
        <f t="shared" si="5"/>
        <v>243.75375</v>
      </c>
      <c r="L53" s="136">
        <f t="shared" si="6"/>
        <v>3513.6747500000001</v>
      </c>
      <c r="M53" s="141">
        <f t="shared" si="7"/>
        <v>562.18796000000009</v>
      </c>
      <c r="N53" s="141">
        <f t="shared" si="8"/>
        <v>4075.8627100000003</v>
      </c>
      <c r="O53" s="131"/>
      <c r="P53" s="136">
        <f>+E53</f>
        <v>0</v>
      </c>
      <c r="Q53" s="142">
        <f>+P53*0.16</f>
        <v>0</v>
      </c>
      <c r="R53" s="142">
        <f>+P53+Q53</f>
        <v>0</v>
      </c>
      <c r="S53" s="126"/>
      <c r="T53" s="178" t="str">
        <f t="shared" si="12"/>
        <v>SI</v>
      </c>
      <c r="U53" s="40" t="s">
        <v>171</v>
      </c>
      <c r="V53" s="58" t="s">
        <v>287</v>
      </c>
      <c r="W53" s="40"/>
      <c r="X53" s="43">
        <v>42169</v>
      </c>
      <c r="Y53" s="40" t="s">
        <v>247</v>
      </c>
      <c r="Z53" s="177">
        <v>0</v>
      </c>
      <c r="AA53" s="45"/>
      <c r="AB53" s="45"/>
      <c r="AC53" s="46"/>
      <c r="AD53" s="50">
        <f t="shared" si="25"/>
        <v>0</v>
      </c>
      <c r="AE53" s="57"/>
      <c r="AF53" s="89"/>
      <c r="AG53" s="47"/>
      <c r="AH53" s="47"/>
      <c r="AI53" s="47"/>
      <c r="AJ53" s="48"/>
      <c r="AK53" s="49">
        <v>0</v>
      </c>
      <c r="AL53" s="50">
        <f>+AD53-SUM(AE53:AK53)</f>
        <v>0</v>
      </c>
      <c r="AM53" s="51">
        <f>IF(AD53&gt;4500,AD53*0.1,0)</f>
        <v>0</v>
      </c>
      <c r="AN53" s="50">
        <f t="shared" si="26"/>
        <v>0</v>
      </c>
      <c r="AO53" s="52">
        <f>IF(AD53&lt;4500,AD53*0.1,0)</f>
        <v>0</v>
      </c>
      <c r="AP53" s="51">
        <f>+'[1]C&amp;A'!X62*0.02</f>
        <v>0</v>
      </c>
      <c r="AQ53" s="50">
        <f>+AD53+AO53+AP53</f>
        <v>0</v>
      </c>
      <c r="AR53" s="53"/>
      <c r="AS53" s="54"/>
      <c r="AT53" s="55">
        <f>+AR53+AS53-AN53</f>
        <v>0</v>
      </c>
      <c r="AU53" s="73"/>
      <c r="AV53" s="58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</row>
    <row r="54" spans="1:62">
      <c r="A54" s="14" t="s">
        <v>108</v>
      </c>
      <c r="B54" s="7"/>
      <c r="C54" s="7" t="s">
        <v>109</v>
      </c>
      <c r="D54" s="134" t="s">
        <v>109</v>
      </c>
      <c r="E54" s="134" t="s">
        <v>109</v>
      </c>
      <c r="F54" s="134" t="s">
        <v>109</v>
      </c>
      <c r="G54" s="131"/>
      <c r="H54" s="134" t="s">
        <v>109</v>
      </c>
      <c r="I54" s="134" t="s">
        <v>109</v>
      </c>
      <c r="J54" s="134" t="s">
        <v>109</v>
      </c>
      <c r="K54" s="134" t="s">
        <v>109</v>
      </c>
      <c r="L54" s="134" t="s">
        <v>109</v>
      </c>
      <c r="M54" s="134" t="s">
        <v>109</v>
      </c>
      <c r="N54" s="134" t="s">
        <v>109</v>
      </c>
      <c r="O54" s="131"/>
      <c r="P54" s="134" t="s">
        <v>109</v>
      </c>
      <c r="Q54" s="134" t="s">
        <v>109</v>
      </c>
      <c r="R54" s="134" t="s">
        <v>109</v>
      </c>
      <c r="S54" s="127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33"/>
      <c r="AX54" s="33"/>
      <c r="AY54" s="33"/>
      <c r="AZ54" s="33"/>
      <c r="BA54" s="33"/>
      <c r="BB54" s="33"/>
      <c r="BC54" s="33"/>
      <c r="BD54" s="33"/>
      <c r="BE54" s="33"/>
    </row>
    <row r="55" spans="1:62" s="7" customFormat="1">
      <c r="A55" s="2"/>
      <c r="B55" s="1"/>
      <c r="C55" s="16">
        <f>SUM(C12:C54)</f>
        <v>195336.02</v>
      </c>
      <c r="D55" s="137">
        <f>SUM(D12:D54)</f>
        <v>0</v>
      </c>
      <c r="E55" s="137">
        <f>SUM(E12:E54)</f>
        <v>511367.82999999996</v>
      </c>
      <c r="F55" s="137">
        <f>SUM(F12:F54)</f>
        <v>706703.85</v>
      </c>
      <c r="G55" s="131"/>
      <c r="H55" s="137">
        <f t="shared" ref="H55:N55" si="29">SUM(H12:H54)</f>
        <v>195336.02</v>
      </c>
      <c r="I55" s="137">
        <f t="shared" si="29"/>
        <v>-3810.200000000003</v>
      </c>
      <c r="J55" s="137">
        <f t="shared" si="29"/>
        <v>3906.7204000000006</v>
      </c>
      <c r="K55" s="137">
        <f t="shared" si="29"/>
        <v>14650.201499999997</v>
      </c>
      <c r="L55" s="137">
        <f t="shared" si="29"/>
        <v>210082.74189999996</v>
      </c>
      <c r="M55" s="137">
        <f t="shared" si="29"/>
        <v>33613.238704000018</v>
      </c>
      <c r="N55" s="137">
        <f t="shared" si="29"/>
        <v>243695.98060399995</v>
      </c>
      <c r="O55" s="131"/>
      <c r="P55" s="137">
        <f>SUM(P12:P54)</f>
        <v>511367.82999999996</v>
      </c>
      <c r="Q55" s="137">
        <f>SUM(Q12:Q54)</f>
        <v>81818.852799999993</v>
      </c>
      <c r="R55" s="137">
        <f>SUM(R12:R54)</f>
        <v>593186.68279999995</v>
      </c>
      <c r="S55" s="128"/>
      <c r="T55" s="1"/>
      <c r="U55" s="61"/>
      <c r="V55" s="40"/>
      <c r="W55" s="40"/>
      <c r="X55" s="40"/>
      <c r="Y55" s="40"/>
      <c r="Z55" s="177"/>
      <c r="AA55" s="44"/>
      <c r="AB55" s="44"/>
      <c r="AC55" s="46"/>
      <c r="AD55" s="50"/>
      <c r="AE55" s="57"/>
      <c r="AF55" s="88"/>
      <c r="AG55" s="47"/>
      <c r="AH55" s="47"/>
      <c r="AI55" s="47"/>
      <c r="AJ55" s="51"/>
      <c r="AK55" s="51"/>
      <c r="AL55" s="50"/>
      <c r="AM55" s="51"/>
      <c r="AN55" s="50"/>
      <c r="AO55" s="52">
        <f>IF(AD55&lt;4500,AD55*0.1,0)</f>
        <v>0</v>
      </c>
      <c r="AP55" s="51"/>
      <c r="AQ55" s="50">
        <f>+AD55+AO55+AP55</f>
        <v>0</v>
      </c>
      <c r="AR55" s="53"/>
      <c r="AS55" s="75"/>
      <c r="AT55" s="55"/>
      <c r="AU55" s="55"/>
      <c r="AV55" s="58"/>
    </row>
    <row r="56" spans="1:62">
      <c r="D56" s="136"/>
      <c r="E56" s="136"/>
      <c r="F56" s="136"/>
      <c r="G56" s="131"/>
      <c r="H56" s="136"/>
      <c r="I56" s="141"/>
      <c r="J56" s="141"/>
      <c r="K56" s="141"/>
      <c r="L56" s="136"/>
      <c r="M56" s="141"/>
      <c r="N56" s="141"/>
      <c r="O56" s="131"/>
      <c r="P56" s="136"/>
      <c r="Q56" s="142"/>
      <c r="R56" s="142"/>
      <c r="U56" s="76"/>
      <c r="V56" s="77"/>
      <c r="W56" s="40"/>
      <c r="X56" s="40"/>
      <c r="Y56" s="77"/>
      <c r="Z56" s="101"/>
      <c r="AA56" s="78"/>
      <c r="AB56" s="78"/>
      <c r="AC56" s="78"/>
      <c r="AD56" s="79"/>
      <c r="AE56" s="78"/>
      <c r="AF56" s="90"/>
      <c r="AG56" s="80"/>
      <c r="AH56" s="80"/>
      <c r="AI56" s="80"/>
      <c r="AJ56" s="80"/>
      <c r="AK56" s="80"/>
      <c r="AL56" s="81"/>
      <c r="AM56" s="80"/>
      <c r="AN56" s="79"/>
      <c r="AO56" s="80"/>
      <c r="AP56" s="80"/>
      <c r="AQ56" s="79"/>
      <c r="AR56" s="82"/>
      <c r="AS56" s="82"/>
      <c r="AT56" s="33"/>
      <c r="AU56" s="33"/>
      <c r="AV56" s="33"/>
      <c r="AW56" s="33"/>
      <c r="AX56" s="33"/>
      <c r="AY56" s="32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</row>
    <row r="57" spans="1:62" s="178" customFormat="1" ht="16.5" thickBot="1">
      <c r="A57" s="179"/>
      <c r="D57" s="188"/>
      <c r="E57" s="188"/>
      <c r="F57" s="188"/>
      <c r="G57" s="176"/>
      <c r="H57" s="188"/>
      <c r="I57" s="195"/>
      <c r="J57" s="195"/>
      <c r="K57" s="195"/>
      <c r="L57" s="188"/>
      <c r="M57" s="195"/>
      <c r="N57" s="195"/>
      <c r="O57" s="176"/>
      <c r="P57" s="188"/>
      <c r="Q57" s="142"/>
      <c r="R57" s="142"/>
      <c r="S57" s="124"/>
      <c r="U57" s="32"/>
      <c r="V57" s="83" t="s">
        <v>290</v>
      </c>
      <c r="W57" s="83"/>
      <c r="X57" s="83"/>
      <c r="Y57" s="83"/>
      <c r="Z57" s="102">
        <f>SUM(Z12:Z55)</f>
        <v>511367.82999999996</v>
      </c>
      <c r="AA57" s="84">
        <f>SUM(AA15:AA52)</f>
        <v>0</v>
      </c>
      <c r="AB57" s="84">
        <f>SUM(AB15:AB52)</f>
        <v>0</v>
      </c>
      <c r="AC57" s="84">
        <f>SUM(AC13:AC55)</f>
        <v>0</v>
      </c>
      <c r="AD57" s="84">
        <f>SUM(AD13:AD55)</f>
        <v>498626.95999999996</v>
      </c>
      <c r="AE57" s="84">
        <f ca="1">SUM(AE13:AE76)</f>
        <v>870.58</v>
      </c>
      <c r="AF57" s="91">
        <f>SUM(AF12:AF55)</f>
        <v>0</v>
      </c>
      <c r="AG57" s="84">
        <f>SUM(AG15:AG52)</f>
        <v>0</v>
      </c>
      <c r="AH57" s="84">
        <f>SUM(AH15:AH52)</f>
        <v>0</v>
      </c>
      <c r="AI57" s="84">
        <f>SUM(AI15:AI52)</f>
        <v>0</v>
      </c>
      <c r="AJ57" s="84">
        <f ca="1">SUM(AJ13:AJ76)</f>
        <v>2005</v>
      </c>
      <c r="AK57" s="84">
        <f>SUM(AK13:AK55)</f>
        <v>15990.13</v>
      </c>
      <c r="AL57" s="84">
        <f>SUM(AL13:AL55)</f>
        <v>479761.25</v>
      </c>
      <c r="AM57" s="84">
        <f>SUM(AM15:AM52)</f>
        <v>42950.948999999993</v>
      </c>
      <c r="AN57" s="84">
        <f>SUM(AN13:AN55)</f>
        <v>436810.30100000009</v>
      </c>
      <c r="AO57" s="84">
        <f>SUM(AO15:AO52)</f>
        <v>1218.75</v>
      </c>
      <c r="AP57" s="84">
        <f>SUM(AP15:AP52)</f>
        <v>0</v>
      </c>
      <c r="AQ57" s="84">
        <f>SUM(AQ15:AQ52)</f>
        <v>363189.41000000003</v>
      </c>
      <c r="AR57" s="82"/>
      <c r="AS57" s="82"/>
      <c r="AT57" s="33"/>
      <c r="AU57" s="33"/>
      <c r="AV57" s="32"/>
      <c r="AW57" s="33"/>
      <c r="AX57" s="33"/>
      <c r="AY57" s="32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</row>
    <row r="58" spans="1:62" s="178" customFormat="1" ht="16.5" thickTop="1">
      <c r="A58" s="179"/>
      <c r="D58" s="188"/>
      <c r="E58" s="188"/>
      <c r="F58" s="188"/>
      <c r="G58" s="176"/>
      <c r="H58" s="188"/>
      <c r="I58" s="195"/>
      <c r="J58" s="195"/>
      <c r="K58" s="195"/>
      <c r="L58" s="188"/>
      <c r="M58" s="195"/>
      <c r="N58" s="195"/>
      <c r="O58" s="176"/>
      <c r="P58" s="188"/>
      <c r="Q58" s="142"/>
      <c r="R58" s="142"/>
      <c r="S58" s="124"/>
      <c r="U58" s="32"/>
      <c r="V58" s="225" t="s">
        <v>320</v>
      </c>
      <c r="W58" s="225"/>
      <c r="X58" s="225"/>
      <c r="Y58" s="32"/>
      <c r="Z58" s="97"/>
      <c r="AA58" s="29"/>
      <c r="AB58" s="29"/>
      <c r="AC58" s="29"/>
      <c r="AD58" s="30"/>
      <c r="AE58" s="29"/>
      <c r="AF58" s="87"/>
      <c r="AG58" s="29"/>
      <c r="AH58" s="29"/>
      <c r="AI58" s="29"/>
      <c r="AJ58" s="29"/>
      <c r="AK58" s="29"/>
      <c r="AL58" s="30"/>
      <c r="AM58" s="29"/>
      <c r="AN58" s="30"/>
      <c r="AO58" s="29"/>
      <c r="AP58" s="29"/>
      <c r="AQ58" s="30" t="e">
        <f>+#REF!*0.16</f>
        <v>#REF!</v>
      </c>
      <c r="AR58" s="31"/>
      <c r="AS58" s="31"/>
      <c r="AT58" s="32"/>
      <c r="AU58" s="32"/>
      <c r="AV58" s="32"/>
      <c r="AW58" s="33"/>
      <c r="AX58" s="33"/>
      <c r="AY58" s="32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</row>
    <row r="59" spans="1:62" s="178" customFormat="1">
      <c r="A59" s="179"/>
      <c r="D59" s="188"/>
      <c r="E59" s="188"/>
      <c r="F59" s="188"/>
      <c r="G59" s="176"/>
      <c r="H59" s="188"/>
      <c r="I59" s="195"/>
      <c r="J59" s="195"/>
      <c r="K59" s="195"/>
      <c r="L59" s="188"/>
      <c r="M59" s="195"/>
      <c r="N59" s="195"/>
      <c r="O59" s="176"/>
      <c r="P59" s="188"/>
      <c r="Q59" s="142"/>
      <c r="R59" s="142"/>
      <c r="S59" s="124"/>
      <c r="U59" s="32"/>
      <c r="V59" s="225"/>
      <c r="W59" s="225"/>
      <c r="X59" s="225"/>
      <c r="Y59" s="32"/>
      <c r="Z59" s="97"/>
      <c r="AA59" s="29"/>
      <c r="AB59" s="29"/>
      <c r="AC59" s="29"/>
      <c r="AD59" s="30"/>
      <c r="AE59" s="29"/>
      <c r="AF59" s="87"/>
      <c r="AG59" s="29"/>
      <c r="AH59" s="29"/>
      <c r="AI59" s="29"/>
      <c r="AJ59" s="29"/>
      <c r="AK59" s="29"/>
      <c r="AL59" s="30"/>
      <c r="AM59" s="29"/>
      <c r="AN59" s="30"/>
      <c r="AO59" s="29"/>
      <c r="AP59" s="29"/>
      <c r="AQ59" s="30" t="e">
        <f>+#REF!+AQ58</f>
        <v>#REF!</v>
      </c>
      <c r="AR59" s="31"/>
      <c r="AS59" s="31"/>
      <c r="AT59" s="32"/>
      <c r="AU59" s="32"/>
      <c r="AV59" s="32"/>
      <c r="AW59" s="33"/>
      <c r="AX59" s="33"/>
      <c r="AY59" s="32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</row>
    <row r="60" spans="1:62">
      <c r="A60" s="10" t="s">
        <v>110</v>
      </c>
      <c r="D60" s="136"/>
      <c r="E60" s="136"/>
      <c r="F60" s="136"/>
      <c r="G60" s="131"/>
      <c r="H60" s="136"/>
      <c r="I60" s="141"/>
      <c r="J60" s="141"/>
      <c r="K60" s="141"/>
      <c r="L60" s="136"/>
      <c r="M60" s="141"/>
      <c r="N60" s="141"/>
      <c r="O60" s="131"/>
      <c r="P60" s="136"/>
      <c r="Q60" s="142"/>
      <c r="R60" s="142"/>
      <c r="V60" s="29"/>
      <c r="AW60" s="33"/>
      <c r="AX60" s="32"/>
      <c r="AY60" s="32"/>
      <c r="AZ60" s="32"/>
      <c r="BA60" s="32"/>
      <c r="BB60" s="32"/>
      <c r="BC60" s="32"/>
      <c r="BD60" s="32"/>
      <c r="BE60" s="33"/>
      <c r="BF60" s="33"/>
      <c r="BG60" s="33"/>
      <c r="BH60" s="33"/>
      <c r="BI60" s="33"/>
      <c r="BJ60" s="33"/>
    </row>
    <row r="61" spans="1:62">
      <c r="A61" s="2" t="s">
        <v>111</v>
      </c>
      <c r="B61" s="1" t="s">
        <v>293</v>
      </c>
      <c r="C61" s="12">
        <f>+FISCAL!E61</f>
        <v>1200</v>
      </c>
      <c r="D61" s="136">
        <f>+FISCAL!F61</f>
        <v>1111.76</v>
      </c>
      <c r="E61" s="188">
        <v>0</v>
      </c>
      <c r="F61" s="136">
        <f t="shared" ref="F61:F76" si="30">SUM(C61:E61)</f>
        <v>2311.7600000000002</v>
      </c>
      <c r="G61" s="131"/>
      <c r="H61" s="136">
        <f>+FISCAL!H61</f>
        <v>2311.7600000000002</v>
      </c>
      <c r="I61" s="195">
        <f>-FISCAL!O61-AJ61</f>
        <v>-45.13</v>
      </c>
      <c r="J61" s="141">
        <f t="shared" ref="J61:J76" si="31">+C61*0.02</f>
        <v>24</v>
      </c>
      <c r="K61" s="141">
        <f t="shared" ref="K61:K76" si="32">+C61*7.5%</f>
        <v>90</v>
      </c>
      <c r="L61" s="136">
        <f t="shared" ref="L61:L76" si="33">SUM(H61:K61)</f>
        <v>2380.63</v>
      </c>
      <c r="M61" s="141">
        <f t="shared" ref="M61:M76" si="34">+L61*0.16</f>
        <v>380.9008</v>
      </c>
      <c r="N61" s="141">
        <f t="shared" ref="N61:N76" si="35">+L61+M61</f>
        <v>2761.5308</v>
      </c>
      <c r="O61" s="131"/>
      <c r="P61" s="136">
        <v>0</v>
      </c>
      <c r="Q61" s="142">
        <v>0</v>
      </c>
      <c r="R61" s="142">
        <v>0</v>
      </c>
      <c r="S61" s="126"/>
      <c r="T61" s="1" t="str">
        <f t="shared" ref="T61:T71" si="36">IF(B61=V61,"SI","NO")</f>
        <v>SI</v>
      </c>
      <c r="U61" s="40" t="s">
        <v>207</v>
      </c>
      <c r="V61" s="58" t="s">
        <v>205</v>
      </c>
      <c r="W61" s="42"/>
      <c r="X61" s="43">
        <v>42635</v>
      </c>
      <c r="Y61" s="40" t="s">
        <v>206</v>
      </c>
      <c r="Z61" s="177">
        <v>1111.76</v>
      </c>
      <c r="AA61" s="62"/>
      <c r="AB61" s="45"/>
      <c r="AC61" s="46"/>
      <c r="AD61" s="50">
        <f t="shared" ref="AD61:AD68" si="37">SUM(Z61:AB61)-AC61</f>
        <v>1111.76</v>
      </c>
      <c r="AE61" s="57"/>
      <c r="AF61" s="89"/>
      <c r="AG61" s="47"/>
      <c r="AH61" s="47"/>
      <c r="AI61" s="47"/>
      <c r="AJ61" s="48"/>
      <c r="AK61" s="49">
        <v>0</v>
      </c>
      <c r="AL61" s="50">
        <f>+AD61-SUM(AE61:AK61)</f>
        <v>1111.76</v>
      </c>
      <c r="AM61" s="51">
        <f t="shared" ref="AM61:AM68" si="38">IF(AD61&gt;4500,AD61*0.1,0)</f>
        <v>0</v>
      </c>
      <c r="AN61" s="50">
        <f t="shared" ref="AN61:AN68" si="39">+AL61-AM61</f>
        <v>1111.76</v>
      </c>
      <c r="AO61" s="52"/>
      <c r="AP61" s="51"/>
      <c r="AQ61" s="50"/>
      <c r="AR61" s="53"/>
      <c r="AS61" s="59"/>
      <c r="AT61" s="55"/>
      <c r="AU61" s="106">
        <v>1132634759</v>
      </c>
      <c r="AV61" s="58"/>
      <c r="AW61" s="32"/>
      <c r="AX61" s="32"/>
      <c r="AY61" s="32"/>
      <c r="AZ61" s="32"/>
      <c r="BA61" s="32"/>
      <c r="BB61" s="32"/>
      <c r="BC61" s="32"/>
      <c r="BD61" s="32"/>
      <c r="BE61" s="32"/>
      <c r="BF61" s="33"/>
      <c r="BG61" s="33"/>
      <c r="BH61" s="33"/>
      <c r="BI61" s="33"/>
      <c r="BJ61" s="33"/>
    </row>
    <row r="62" spans="1:62">
      <c r="A62" s="2" t="s">
        <v>112</v>
      </c>
      <c r="B62" s="1" t="s">
        <v>113</v>
      </c>
      <c r="C62" s="136">
        <f>+FISCAL!E62</f>
        <v>1200</v>
      </c>
      <c r="D62" s="136">
        <f>+FISCAL!F62</f>
        <v>2835</v>
      </c>
      <c r="E62" s="236">
        <v>0</v>
      </c>
      <c r="F62" s="136">
        <f t="shared" si="30"/>
        <v>4035</v>
      </c>
      <c r="G62" s="131"/>
      <c r="H62" s="136">
        <f>+FISCAL!H62</f>
        <v>4035</v>
      </c>
      <c r="I62" s="195">
        <f>-FISCAL!O62-AJ62</f>
        <v>-45.13</v>
      </c>
      <c r="J62" s="141">
        <f t="shared" si="31"/>
        <v>24</v>
      </c>
      <c r="K62" s="141">
        <f t="shared" si="32"/>
        <v>90</v>
      </c>
      <c r="L62" s="136">
        <f t="shared" si="33"/>
        <v>4103.87</v>
      </c>
      <c r="M62" s="141">
        <f t="shared" si="34"/>
        <v>656.61919999999998</v>
      </c>
      <c r="N62" s="141">
        <f t="shared" si="35"/>
        <v>4760.4892</v>
      </c>
      <c r="O62" s="131"/>
      <c r="P62" s="136">
        <v>0</v>
      </c>
      <c r="Q62" s="142">
        <v>0</v>
      </c>
      <c r="R62" s="142">
        <v>0</v>
      </c>
      <c r="S62" s="126"/>
      <c r="T62" s="178" t="str">
        <f t="shared" si="36"/>
        <v>SI</v>
      </c>
      <c r="U62" s="40" t="s">
        <v>207</v>
      </c>
      <c r="V62" s="40" t="s">
        <v>208</v>
      </c>
      <c r="W62" s="42"/>
      <c r="X62" s="63">
        <v>42429</v>
      </c>
      <c r="Y62" s="40" t="s">
        <v>206</v>
      </c>
      <c r="Z62" s="177">
        <v>2835</v>
      </c>
      <c r="AA62" s="62"/>
      <c r="AB62" s="45"/>
      <c r="AC62" s="46"/>
      <c r="AD62" s="50">
        <f t="shared" si="37"/>
        <v>2835</v>
      </c>
      <c r="AE62" s="57"/>
      <c r="AF62" s="89"/>
      <c r="AG62" s="47"/>
      <c r="AH62" s="47"/>
      <c r="AI62" s="47"/>
      <c r="AJ62" s="48"/>
      <c r="AK62" s="49">
        <v>0</v>
      </c>
      <c r="AL62" s="50">
        <f>+AD62-SUM(AE62:AK62)</f>
        <v>2835</v>
      </c>
      <c r="AM62" s="51">
        <f t="shared" si="38"/>
        <v>0</v>
      </c>
      <c r="AN62" s="50">
        <f t="shared" si="39"/>
        <v>2835</v>
      </c>
      <c r="AO62" s="52">
        <f>IF(AD62&lt;4500,AD62*0.1,0)</f>
        <v>283.5</v>
      </c>
      <c r="AP62" s="51">
        <f>+'[1]C&amp;A'!X23*0.02</f>
        <v>0</v>
      </c>
      <c r="AQ62" s="50">
        <f>+AD62+AO62+AP62</f>
        <v>3118.5</v>
      </c>
      <c r="AR62" s="53"/>
      <c r="AS62" s="54"/>
      <c r="AT62" s="55">
        <f>+AR62+AS62-AN62</f>
        <v>-2835</v>
      </c>
      <c r="AU62" s="55"/>
      <c r="AV62" s="58"/>
      <c r="AW62" s="33"/>
      <c r="AX62" s="33"/>
      <c r="AY62" s="33"/>
      <c r="AZ62" s="33"/>
      <c r="BA62" s="33"/>
      <c r="BB62" s="33"/>
      <c r="BC62" s="33"/>
      <c r="BD62" s="33"/>
      <c r="BE62" s="33"/>
      <c r="BF62" s="32"/>
      <c r="BG62" s="32"/>
      <c r="BH62" s="33"/>
      <c r="BI62" s="33"/>
      <c r="BJ62" s="33"/>
    </row>
    <row r="63" spans="1:62">
      <c r="A63" s="2" t="s">
        <v>114</v>
      </c>
      <c r="B63" s="1" t="s">
        <v>115</v>
      </c>
      <c r="C63" s="136">
        <f>+FISCAL!E63</f>
        <v>1200</v>
      </c>
      <c r="D63" s="136">
        <f>+FISCAL!F63</f>
        <v>3300</v>
      </c>
      <c r="E63" s="236">
        <v>0</v>
      </c>
      <c r="F63" s="136">
        <f t="shared" si="30"/>
        <v>4500</v>
      </c>
      <c r="G63" s="131"/>
      <c r="H63" s="136">
        <f>+FISCAL!H63</f>
        <v>4500</v>
      </c>
      <c r="I63" s="195">
        <f>-FISCAL!O63-AJ63</f>
        <v>-45.13</v>
      </c>
      <c r="J63" s="141">
        <f t="shared" si="31"/>
        <v>24</v>
      </c>
      <c r="K63" s="141">
        <f t="shared" si="32"/>
        <v>90</v>
      </c>
      <c r="L63" s="136">
        <f t="shared" si="33"/>
        <v>4568.87</v>
      </c>
      <c r="M63" s="141">
        <f t="shared" si="34"/>
        <v>731.01919999999996</v>
      </c>
      <c r="N63" s="141">
        <f t="shared" si="35"/>
        <v>5299.8891999999996</v>
      </c>
      <c r="O63" s="131"/>
      <c r="P63" s="136">
        <v>0</v>
      </c>
      <c r="Q63" s="142">
        <v>0</v>
      </c>
      <c r="R63" s="142">
        <v>0</v>
      </c>
      <c r="S63" s="126"/>
      <c r="T63" s="178" t="str">
        <f t="shared" si="36"/>
        <v>SI</v>
      </c>
      <c r="U63" s="40" t="s">
        <v>207</v>
      </c>
      <c r="V63" s="40" t="s">
        <v>209</v>
      </c>
      <c r="W63" s="42"/>
      <c r="X63" s="63">
        <v>42599</v>
      </c>
      <c r="Y63" s="40" t="s">
        <v>206</v>
      </c>
      <c r="Z63" s="177">
        <v>3300</v>
      </c>
      <c r="AA63" s="62"/>
      <c r="AB63" s="45"/>
      <c r="AC63" s="46"/>
      <c r="AD63" s="50">
        <f t="shared" si="37"/>
        <v>3300</v>
      </c>
      <c r="AE63" s="57"/>
      <c r="AF63" s="89"/>
      <c r="AG63" s="47"/>
      <c r="AH63" s="47"/>
      <c r="AI63" s="47"/>
      <c r="AJ63" s="48"/>
      <c r="AK63" s="49">
        <v>0</v>
      </c>
      <c r="AL63" s="50">
        <f>+AD63-SUM(AE63:AK63)</f>
        <v>3300</v>
      </c>
      <c r="AM63" s="51">
        <f t="shared" si="38"/>
        <v>0</v>
      </c>
      <c r="AN63" s="50">
        <f t="shared" si="39"/>
        <v>3300</v>
      </c>
      <c r="AO63" s="52">
        <f>IF(AD63&lt;4500,AD63*0.1,0)</f>
        <v>330</v>
      </c>
      <c r="AP63" s="51">
        <f>+'[1]C&amp;A'!X24*0.02</f>
        <v>0</v>
      </c>
      <c r="AQ63" s="50">
        <f>+AD63+AO63+AP63</f>
        <v>3630</v>
      </c>
      <c r="AR63" s="53"/>
      <c r="AS63" s="54"/>
      <c r="AT63" s="55"/>
      <c r="AU63" s="55"/>
      <c r="AV63" s="58"/>
      <c r="AW63" s="33"/>
      <c r="AX63" s="33"/>
      <c r="AY63" s="33"/>
      <c r="AZ63" s="33"/>
      <c r="BA63" s="33"/>
      <c r="BB63" s="33"/>
      <c r="BC63" s="33"/>
      <c r="BD63" s="33"/>
      <c r="BE63" s="33"/>
      <c r="BF63" s="17"/>
      <c r="BG63" s="17"/>
      <c r="BH63" s="32"/>
      <c r="BI63" s="33"/>
      <c r="BJ63" s="33"/>
    </row>
    <row r="64" spans="1:62">
      <c r="A64" s="167" t="s">
        <v>116</v>
      </c>
      <c r="B64" s="168" t="s">
        <v>117</v>
      </c>
      <c r="C64" s="169">
        <f>+FISCAL!E64</f>
        <v>1200</v>
      </c>
      <c r="D64" s="169">
        <f>+FISCAL!F64</f>
        <v>3395.43</v>
      </c>
      <c r="E64" s="236">
        <v>0</v>
      </c>
      <c r="F64" s="169">
        <f t="shared" si="30"/>
        <v>4595.43</v>
      </c>
      <c r="G64" s="170"/>
      <c r="H64" s="169">
        <f>+FISCAL!H64</f>
        <v>4595.43</v>
      </c>
      <c r="I64" s="195">
        <f>-FISCAL!O64-AJ64</f>
        <v>-45.13</v>
      </c>
      <c r="J64" s="171">
        <f t="shared" si="31"/>
        <v>24</v>
      </c>
      <c r="K64" s="171">
        <f t="shared" si="32"/>
        <v>90</v>
      </c>
      <c r="L64" s="169">
        <f t="shared" si="33"/>
        <v>4664.3</v>
      </c>
      <c r="M64" s="171">
        <f t="shared" si="34"/>
        <v>746.28800000000001</v>
      </c>
      <c r="N64" s="171">
        <f t="shared" si="35"/>
        <v>5410.5879999999997</v>
      </c>
      <c r="O64" s="170"/>
      <c r="P64" s="169">
        <v>0</v>
      </c>
      <c r="Q64" s="172">
        <v>0</v>
      </c>
      <c r="R64" s="172">
        <v>0</v>
      </c>
      <c r="S64" s="173"/>
      <c r="T64" s="178" t="str">
        <f t="shared" si="36"/>
        <v>SI</v>
      </c>
      <c r="U64" s="40" t="s">
        <v>207</v>
      </c>
      <c r="V64" s="58" t="s">
        <v>225</v>
      </c>
      <c r="W64" s="40"/>
      <c r="X64" s="43">
        <v>42660</v>
      </c>
      <c r="Y64" s="40" t="s">
        <v>226</v>
      </c>
      <c r="Z64" s="177">
        <v>3395.43</v>
      </c>
      <c r="AA64" s="45"/>
      <c r="AB64" s="45"/>
      <c r="AC64" s="46"/>
      <c r="AD64" s="50">
        <f t="shared" si="37"/>
        <v>3395.43</v>
      </c>
      <c r="AE64" s="57"/>
      <c r="AF64" s="89"/>
      <c r="AG64" s="47"/>
      <c r="AH64" s="47"/>
      <c r="AI64" s="47"/>
      <c r="AJ64" s="48"/>
      <c r="AK64" s="49"/>
      <c r="AL64" s="50">
        <f t="shared" ref="AL64" si="40">+AD64-SUM(AE64:AK64)</f>
        <v>3395.43</v>
      </c>
      <c r="AM64" s="51">
        <f t="shared" si="38"/>
        <v>0</v>
      </c>
      <c r="AN64" s="50">
        <f t="shared" si="39"/>
        <v>3395.43</v>
      </c>
      <c r="AO64" s="52"/>
      <c r="AP64" s="51"/>
      <c r="AQ64" s="50"/>
      <c r="AR64" s="53"/>
      <c r="AS64" s="59"/>
      <c r="AT64" s="55"/>
      <c r="AU64" s="214">
        <v>1168261504</v>
      </c>
      <c r="AV64" s="58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2"/>
      <c r="BI64" s="33"/>
      <c r="BJ64" s="33"/>
    </row>
    <row r="65" spans="1:64" s="168" customFormat="1">
      <c r="A65" s="2" t="s">
        <v>118</v>
      </c>
      <c r="B65" s="1" t="s">
        <v>119</v>
      </c>
      <c r="C65" s="136">
        <f>+FISCAL!E65</f>
        <v>1200</v>
      </c>
      <c r="D65" s="136">
        <f>+FISCAL!F65</f>
        <v>1713.6</v>
      </c>
      <c r="E65" s="236">
        <v>0</v>
      </c>
      <c r="F65" s="136">
        <f t="shared" si="30"/>
        <v>2913.6</v>
      </c>
      <c r="G65" s="131"/>
      <c r="H65" s="136">
        <f>+FISCAL!H65</f>
        <v>2913.6</v>
      </c>
      <c r="I65" s="195">
        <f>-FISCAL!O65-AJ65</f>
        <v>-45.13</v>
      </c>
      <c r="J65" s="141">
        <f t="shared" si="31"/>
        <v>24</v>
      </c>
      <c r="K65" s="141">
        <f t="shared" si="32"/>
        <v>90</v>
      </c>
      <c r="L65" s="136">
        <f t="shared" si="33"/>
        <v>2982.47</v>
      </c>
      <c r="M65" s="141">
        <f t="shared" si="34"/>
        <v>477.1952</v>
      </c>
      <c r="N65" s="141">
        <f t="shared" si="35"/>
        <v>3459.6651999999999</v>
      </c>
      <c r="O65" s="131"/>
      <c r="P65" s="136">
        <v>0</v>
      </c>
      <c r="Q65" s="142">
        <v>0</v>
      </c>
      <c r="R65" s="142">
        <v>0</v>
      </c>
      <c r="S65" s="126"/>
      <c r="T65" s="178" t="str">
        <f t="shared" si="36"/>
        <v>SI</v>
      </c>
      <c r="U65" s="40" t="s">
        <v>207</v>
      </c>
      <c r="V65" s="58" t="s">
        <v>227</v>
      </c>
      <c r="W65" s="40"/>
      <c r="X65" s="43">
        <v>42598</v>
      </c>
      <c r="Y65" s="40" t="s">
        <v>228</v>
      </c>
      <c r="Z65" s="177">
        <v>1713.6</v>
      </c>
      <c r="AA65" s="45"/>
      <c r="AB65" s="45"/>
      <c r="AC65" s="46"/>
      <c r="AD65" s="50">
        <f t="shared" si="37"/>
        <v>1713.6</v>
      </c>
      <c r="AE65" s="57"/>
      <c r="AF65" s="89"/>
      <c r="AG65" s="47"/>
      <c r="AH65" s="47"/>
      <c r="AI65" s="47"/>
      <c r="AJ65" s="48"/>
      <c r="AK65" s="49">
        <v>0</v>
      </c>
      <c r="AL65" s="50">
        <f t="shared" ref="AL65" si="41">+AD65-SUM(AE65:AK65)</f>
        <v>1713.6</v>
      </c>
      <c r="AM65" s="51">
        <f t="shared" si="38"/>
        <v>0</v>
      </c>
      <c r="AN65" s="50">
        <f t="shared" si="39"/>
        <v>1713.6</v>
      </c>
      <c r="AO65" s="52">
        <f t="shared" ref="AO65" si="42">IF(AD65&lt;4500,AD65*0.1,0)</f>
        <v>171.36</v>
      </c>
      <c r="AP65" s="51">
        <f>+'[1]C&amp;A'!X30*0.02</f>
        <v>0</v>
      </c>
      <c r="AQ65" s="50">
        <f t="shared" ref="AQ65" si="43">+AD65+AO65+AP65</f>
        <v>1884.96</v>
      </c>
      <c r="AR65" s="53"/>
      <c r="AS65" s="59"/>
      <c r="AT65" s="55"/>
      <c r="AU65" s="55"/>
      <c r="AV65" s="58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</row>
    <row r="66" spans="1:64">
      <c r="A66" s="2" t="s">
        <v>120</v>
      </c>
      <c r="B66" s="1" t="s">
        <v>121</v>
      </c>
      <c r="C66" s="136">
        <f>+FISCAL!E66</f>
        <v>1200</v>
      </c>
      <c r="D66" s="136">
        <f>+FISCAL!F66</f>
        <v>4849.25</v>
      </c>
      <c r="E66" s="236">
        <v>0</v>
      </c>
      <c r="F66" s="136">
        <f t="shared" si="30"/>
        <v>6049.25</v>
      </c>
      <c r="G66" s="131"/>
      <c r="H66" s="136">
        <f>+FISCAL!H66</f>
        <v>6049.25</v>
      </c>
      <c r="I66" s="195">
        <f>-FISCAL!O66-AJ66</f>
        <v>-45.13</v>
      </c>
      <c r="J66" s="141">
        <f t="shared" si="31"/>
        <v>24</v>
      </c>
      <c r="K66" s="141">
        <f t="shared" si="32"/>
        <v>90</v>
      </c>
      <c r="L66" s="136">
        <f t="shared" si="33"/>
        <v>6118.12</v>
      </c>
      <c r="M66" s="141">
        <f t="shared" si="34"/>
        <v>978.89919999999995</v>
      </c>
      <c r="N66" s="141">
        <f t="shared" si="35"/>
        <v>7097.0191999999997</v>
      </c>
      <c r="O66" s="131"/>
      <c r="P66" s="136">
        <v>0</v>
      </c>
      <c r="Q66" s="142">
        <v>0</v>
      </c>
      <c r="R66" s="142">
        <v>0</v>
      </c>
      <c r="S66" s="126"/>
      <c r="T66" s="178" t="str">
        <f t="shared" si="36"/>
        <v>SI</v>
      </c>
      <c r="U66" s="58" t="s">
        <v>207</v>
      </c>
      <c r="V66" s="58" t="s">
        <v>233</v>
      </c>
      <c r="W66" s="64"/>
      <c r="X66" s="63">
        <v>5</v>
      </c>
      <c r="Y66" s="58" t="s">
        <v>226</v>
      </c>
      <c r="Z66" s="100">
        <v>4849.25</v>
      </c>
      <c r="AA66" s="45"/>
      <c r="AB66" s="45"/>
      <c r="AC66" s="46"/>
      <c r="AD66" s="50">
        <f t="shared" si="37"/>
        <v>4849.25</v>
      </c>
      <c r="AE66" s="57"/>
      <c r="AF66" s="89"/>
      <c r="AG66" s="47"/>
      <c r="AH66" s="47"/>
      <c r="AI66" s="47"/>
      <c r="AJ66" s="65"/>
      <c r="AK66" s="65">
        <v>0</v>
      </c>
      <c r="AL66" s="50">
        <f>+AD66-SUM(AE66:AK66)</f>
        <v>4849.25</v>
      </c>
      <c r="AM66" s="51">
        <f t="shared" si="38"/>
        <v>484.92500000000001</v>
      </c>
      <c r="AN66" s="50">
        <f t="shared" si="39"/>
        <v>4364.3249999999998</v>
      </c>
      <c r="AO66" s="52">
        <f>IF(AD66&lt;4500,AD66*0.1,0)</f>
        <v>0</v>
      </c>
      <c r="AP66" s="51">
        <f>+'[1]C&amp;A'!X31*0.02</f>
        <v>0</v>
      </c>
      <c r="AQ66" s="50">
        <f>+AD66+AO66+AP66</f>
        <v>4849.25</v>
      </c>
      <c r="AR66" s="53"/>
      <c r="AS66" s="59"/>
      <c r="AT66" s="55">
        <f>+AR66+AS66-AN66</f>
        <v>-4364.3249999999998</v>
      </c>
      <c r="AU66" s="215"/>
      <c r="AV66" s="58"/>
      <c r="AW66" s="33"/>
      <c r="AX66" s="33"/>
      <c r="AY66" s="33"/>
      <c r="AZ66" s="33"/>
      <c r="BA66" s="33"/>
      <c r="BB66" s="33"/>
      <c r="BC66" s="17"/>
      <c r="BD66" s="17"/>
      <c r="BE66" s="17"/>
      <c r="BF66" s="33"/>
      <c r="BG66" s="33"/>
      <c r="BH66" s="17"/>
      <c r="BI66" s="33"/>
      <c r="BJ66" s="33"/>
    </row>
    <row r="67" spans="1:64">
      <c r="A67" s="2" t="s">
        <v>122</v>
      </c>
      <c r="B67" s="1" t="s">
        <v>123</v>
      </c>
      <c r="C67" s="136">
        <f>+FISCAL!E67</f>
        <v>1200</v>
      </c>
      <c r="D67" s="136">
        <f>+FISCAL!F67</f>
        <v>4777.5</v>
      </c>
      <c r="E67" s="236">
        <v>0</v>
      </c>
      <c r="F67" s="136">
        <f t="shared" si="30"/>
        <v>5977.5</v>
      </c>
      <c r="G67" s="131"/>
      <c r="H67" s="136">
        <f>+FISCAL!H67</f>
        <v>5977.5</v>
      </c>
      <c r="I67" s="195">
        <f>-FISCAL!O67-AJ67</f>
        <v>-45.13</v>
      </c>
      <c r="J67" s="141">
        <f t="shared" si="31"/>
        <v>24</v>
      </c>
      <c r="K67" s="141">
        <f t="shared" si="32"/>
        <v>90</v>
      </c>
      <c r="L67" s="136">
        <f t="shared" si="33"/>
        <v>6046.37</v>
      </c>
      <c r="M67" s="141">
        <f t="shared" si="34"/>
        <v>967.41920000000005</v>
      </c>
      <c r="N67" s="141">
        <f t="shared" si="35"/>
        <v>7013.7892000000002</v>
      </c>
      <c r="O67" s="131"/>
      <c r="P67" s="136">
        <v>0</v>
      </c>
      <c r="Q67" s="142">
        <v>0</v>
      </c>
      <c r="R67" s="142">
        <v>0</v>
      </c>
      <c r="S67" s="126"/>
      <c r="T67" s="178" t="str">
        <f t="shared" si="36"/>
        <v>SI</v>
      </c>
      <c r="U67" s="40" t="s">
        <v>207</v>
      </c>
      <c r="V67" s="40" t="s">
        <v>234</v>
      </c>
      <c r="W67" s="42" t="s">
        <v>235</v>
      </c>
      <c r="X67" s="43">
        <v>41852</v>
      </c>
      <c r="Y67" s="40" t="s">
        <v>206</v>
      </c>
      <c r="Z67" s="177">
        <v>4777.5</v>
      </c>
      <c r="AA67" s="45"/>
      <c r="AB67" s="45"/>
      <c r="AC67" s="46"/>
      <c r="AD67" s="50">
        <f t="shared" si="37"/>
        <v>4777.5</v>
      </c>
      <c r="AE67" s="57"/>
      <c r="AF67" s="89"/>
      <c r="AG67" s="47"/>
      <c r="AH67" s="47"/>
      <c r="AI67" s="47"/>
      <c r="AJ67" s="48"/>
      <c r="AK67" s="49">
        <v>0</v>
      </c>
      <c r="AL67" s="50">
        <f>+AD67-SUM(AE67:AK67)</f>
        <v>4777.5</v>
      </c>
      <c r="AM67" s="51">
        <f t="shared" si="38"/>
        <v>477.75</v>
      </c>
      <c r="AN67" s="50">
        <f t="shared" si="39"/>
        <v>4299.75</v>
      </c>
      <c r="AO67" s="52">
        <f>IF(AD67&lt;4500,AD67*0.1,0)</f>
        <v>0</v>
      </c>
      <c r="AP67" s="51">
        <f>+'[1]C&amp;A'!X32*0.02</f>
        <v>0</v>
      </c>
      <c r="AQ67" s="50">
        <f>+AD67+AO67+AP67</f>
        <v>4777.5</v>
      </c>
      <c r="AR67" s="53"/>
      <c r="AS67" s="59"/>
      <c r="AT67" s="55">
        <f>+AR67+AS67-AN67</f>
        <v>-4299.75</v>
      </c>
      <c r="AU67" s="55"/>
      <c r="AV67" s="61"/>
      <c r="AW67" s="33"/>
      <c r="AX67" s="33"/>
      <c r="AY67" s="33"/>
      <c r="AZ67" s="33"/>
      <c r="BA67" s="33"/>
      <c r="BB67" s="33"/>
      <c r="BC67" s="33"/>
      <c r="BD67" s="33"/>
      <c r="BE67" s="33"/>
      <c r="BF67" s="32"/>
      <c r="BG67" s="32"/>
      <c r="BH67" s="17"/>
      <c r="BI67" s="33"/>
      <c r="BJ67" s="33"/>
    </row>
    <row r="68" spans="1:64">
      <c r="A68" s="2" t="s">
        <v>124</v>
      </c>
      <c r="B68" s="1" t="s">
        <v>125</v>
      </c>
      <c r="C68" s="136">
        <f>+FISCAL!E68</f>
        <v>1200</v>
      </c>
      <c r="D68" s="136">
        <f>+FISCAL!F68</f>
        <v>750</v>
      </c>
      <c r="E68" s="236">
        <v>0</v>
      </c>
      <c r="F68" s="136">
        <f t="shared" si="30"/>
        <v>1950</v>
      </c>
      <c r="G68" s="131"/>
      <c r="H68" s="136">
        <f>+FISCAL!H68</f>
        <v>1950</v>
      </c>
      <c r="I68" s="195">
        <f>-FISCAL!O68-AJ68</f>
        <v>-45.13</v>
      </c>
      <c r="J68" s="141">
        <f t="shared" si="31"/>
        <v>24</v>
      </c>
      <c r="K68" s="141">
        <f t="shared" si="32"/>
        <v>90</v>
      </c>
      <c r="L68" s="136">
        <f t="shared" si="33"/>
        <v>2018.87</v>
      </c>
      <c r="M68" s="141">
        <f t="shared" si="34"/>
        <v>323.01920000000001</v>
      </c>
      <c r="N68" s="141">
        <f t="shared" si="35"/>
        <v>2341.8892000000001</v>
      </c>
      <c r="O68" s="131"/>
      <c r="P68" s="136">
        <v>0</v>
      </c>
      <c r="Q68" s="142">
        <v>0</v>
      </c>
      <c r="R68" s="142">
        <v>0</v>
      </c>
      <c r="S68" s="126"/>
      <c r="T68" s="178" t="str">
        <f t="shared" si="36"/>
        <v>SI</v>
      </c>
      <c r="U68" s="40" t="s">
        <v>207</v>
      </c>
      <c r="V68" s="40" t="s">
        <v>255</v>
      </c>
      <c r="W68" s="42" t="s">
        <v>256</v>
      </c>
      <c r="X68" s="43">
        <v>40122</v>
      </c>
      <c r="Y68" s="40" t="s">
        <v>228</v>
      </c>
      <c r="Z68" s="177">
        <v>750</v>
      </c>
      <c r="AA68" s="45"/>
      <c r="AB68" s="45"/>
      <c r="AC68" s="46"/>
      <c r="AD68" s="50">
        <f t="shared" si="37"/>
        <v>750</v>
      </c>
      <c r="AE68" s="57"/>
      <c r="AF68" s="89"/>
      <c r="AG68" s="47"/>
      <c r="AH68" s="47"/>
      <c r="AI68" s="47"/>
      <c r="AJ68" s="48"/>
      <c r="AK68" s="49">
        <v>0</v>
      </c>
      <c r="AL68" s="50">
        <f>+AD68-SUM(AE68:AK68)</f>
        <v>750</v>
      </c>
      <c r="AM68" s="51">
        <f t="shared" si="38"/>
        <v>0</v>
      </c>
      <c r="AN68" s="50">
        <f t="shared" si="39"/>
        <v>750</v>
      </c>
      <c r="AO68" s="52">
        <f>IF(AD68&lt;4500,AD68*0.1,0)</f>
        <v>75</v>
      </c>
      <c r="AP68" s="51">
        <f>+'[1]C&amp;A'!X43*0.02</f>
        <v>0</v>
      </c>
      <c r="AQ68" s="50">
        <f>+AD68+AO68+AP68</f>
        <v>825</v>
      </c>
      <c r="AR68" s="53"/>
      <c r="AS68" s="59"/>
      <c r="AT68" s="55">
        <f>+AR68+AS68-AN68</f>
        <v>-750</v>
      </c>
      <c r="AU68" s="55"/>
      <c r="AV68" s="58"/>
      <c r="AW68" s="33"/>
      <c r="AX68" s="33"/>
      <c r="AY68" s="33"/>
      <c r="AZ68" s="33"/>
      <c r="BA68" s="33"/>
      <c r="BB68" s="33"/>
      <c r="BC68" s="33"/>
      <c r="BD68" s="33"/>
      <c r="BE68" s="33"/>
      <c r="BF68" s="17"/>
      <c r="BG68" s="17"/>
      <c r="BH68" s="32"/>
      <c r="BI68" s="32"/>
      <c r="BJ68" s="33"/>
    </row>
    <row r="69" spans="1:64" s="178" customFormat="1">
      <c r="A69" s="179"/>
      <c r="C69" s="188"/>
      <c r="D69" s="188"/>
      <c r="E69" s="236">
        <v>0</v>
      </c>
      <c r="F69" s="188"/>
      <c r="G69" s="176"/>
      <c r="H69" s="188"/>
      <c r="I69" s="195">
        <f>-FISCAL!O69-AJ69</f>
        <v>0</v>
      </c>
      <c r="J69" s="195"/>
      <c r="K69" s="195"/>
      <c r="L69" s="188"/>
      <c r="M69" s="195"/>
      <c r="N69" s="195"/>
      <c r="O69" s="176"/>
      <c r="P69" s="188"/>
      <c r="Q69" s="142"/>
      <c r="R69" s="142"/>
      <c r="S69" s="126"/>
      <c r="T69" s="178" t="str">
        <f t="shared" si="36"/>
        <v>SI</v>
      </c>
      <c r="U69" s="252" t="s">
        <v>291</v>
      </c>
      <c r="V69" s="252"/>
      <c r="W69" s="40"/>
      <c r="X69" s="40"/>
      <c r="Y69" s="40"/>
      <c r="Z69" s="177"/>
      <c r="AA69" s="44"/>
      <c r="AB69" s="44"/>
      <c r="AC69" s="44"/>
      <c r="AD69" s="85"/>
      <c r="AE69" s="44"/>
      <c r="AF69" s="92"/>
      <c r="AG69" s="44"/>
      <c r="AH69" s="44"/>
      <c r="AI69" s="44"/>
      <c r="AJ69" s="44"/>
      <c r="AK69" s="44"/>
      <c r="AL69" s="85"/>
      <c r="AM69" s="44" t="e">
        <f>+AM57-#REF!</f>
        <v>#REF!</v>
      </c>
      <c r="AN69" s="85"/>
      <c r="AO69" s="44"/>
      <c r="AP69" s="44"/>
      <c r="AQ69" s="85"/>
      <c r="AR69" s="86"/>
      <c r="AS69" s="86"/>
      <c r="AT69" s="40"/>
      <c r="AU69" s="40"/>
      <c r="AV69" s="40"/>
      <c r="AW69" s="33"/>
      <c r="AX69" s="33"/>
      <c r="AY69" s="33"/>
      <c r="AZ69" s="33"/>
      <c r="BA69" s="33"/>
      <c r="BB69" s="33"/>
      <c r="BC69" s="33"/>
      <c r="BD69" s="33"/>
      <c r="BE69" s="33"/>
      <c r="BF69" s="176"/>
      <c r="BG69" s="176"/>
      <c r="BH69" s="32"/>
      <c r="BI69" s="32"/>
      <c r="BJ69" s="33"/>
    </row>
    <row r="70" spans="1:64">
      <c r="A70" s="2" t="s">
        <v>126</v>
      </c>
      <c r="B70" s="1" t="s">
        <v>127</v>
      </c>
      <c r="C70" s="136">
        <f>+FISCAL!E70</f>
        <v>1750.05</v>
      </c>
      <c r="D70" s="136">
        <f>+FISCAL!F70</f>
        <v>8654.58</v>
      </c>
      <c r="E70" s="236">
        <v>0</v>
      </c>
      <c r="F70" s="136">
        <f t="shared" si="30"/>
        <v>10404.629999999999</v>
      </c>
      <c r="G70" s="144"/>
      <c r="H70" s="136">
        <f>+FISCAL!H70</f>
        <v>10404.629999999999</v>
      </c>
      <c r="I70" s="195">
        <f>-FISCAL!O70-AJ70</f>
        <v>0</v>
      </c>
      <c r="J70" s="141">
        <f t="shared" si="31"/>
        <v>35.000999999999998</v>
      </c>
      <c r="K70" s="141">
        <f t="shared" si="32"/>
        <v>131.25375</v>
      </c>
      <c r="L70" s="136">
        <f t="shared" si="33"/>
        <v>10570.884749999999</v>
      </c>
      <c r="M70" s="141">
        <f t="shared" si="34"/>
        <v>1691.3415599999998</v>
      </c>
      <c r="N70" s="141">
        <f t="shared" si="35"/>
        <v>12262.226309999998</v>
      </c>
      <c r="O70" s="145"/>
      <c r="P70" s="136">
        <v>0</v>
      </c>
      <c r="Q70" s="142">
        <v>0</v>
      </c>
      <c r="R70" s="142">
        <v>0</v>
      </c>
      <c r="S70" s="126"/>
      <c r="T70" s="178" t="str">
        <f t="shared" si="36"/>
        <v>SI</v>
      </c>
      <c r="U70" s="40" t="s">
        <v>196</v>
      </c>
      <c r="V70" s="40" t="s">
        <v>127</v>
      </c>
      <c r="W70" s="42"/>
      <c r="X70" s="43">
        <v>39516</v>
      </c>
      <c r="Y70" s="40" t="s">
        <v>245</v>
      </c>
      <c r="Z70" s="177">
        <v>8654.58</v>
      </c>
      <c r="AA70" s="44"/>
      <c r="AB70" s="44"/>
      <c r="AC70" s="46"/>
      <c r="AD70" s="50">
        <f>SUM(Z70:AB70)-AC70</f>
        <v>8654.58</v>
      </c>
      <c r="AE70" s="57"/>
      <c r="AF70" s="93"/>
      <c r="AG70" s="47"/>
      <c r="AH70" s="47"/>
      <c r="AI70" s="47"/>
      <c r="AJ70" s="44"/>
      <c r="AK70" s="44">
        <v>4500</v>
      </c>
      <c r="AL70" s="50">
        <f>+AD70-AE70</f>
        <v>8654.58</v>
      </c>
      <c r="AM70" s="51">
        <f>+AL70*0.05</f>
        <v>432.72900000000004</v>
      </c>
      <c r="AN70" s="50">
        <f>+AL70-AH70-AK70</f>
        <v>4154.58</v>
      </c>
      <c r="AO70" s="52">
        <f>IF(AL70&lt;3000,AL70*0.1,0)</f>
        <v>0</v>
      </c>
      <c r="AP70" s="51">
        <v>0</v>
      </c>
      <c r="AQ70" s="50">
        <f>+AL70+AO70+AP70</f>
        <v>8654.58</v>
      </c>
      <c r="AR70" s="86"/>
      <c r="AS70" s="86"/>
      <c r="AT70" s="40"/>
      <c r="AU70" s="40"/>
      <c r="AV70" s="114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17"/>
      <c r="BI70" s="32"/>
      <c r="BJ70" s="33"/>
    </row>
    <row r="71" spans="1:64" s="178" customFormat="1">
      <c r="A71" s="179"/>
      <c r="C71" s="188"/>
      <c r="D71" s="188"/>
      <c r="E71" s="236">
        <v>0</v>
      </c>
      <c r="F71" s="188"/>
      <c r="G71" s="144"/>
      <c r="H71" s="188"/>
      <c r="I71" s="195">
        <f>-FISCAL!O71-AJ71</f>
        <v>0</v>
      </c>
      <c r="J71" s="195"/>
      <c r="K71" s="195"/>
      <c r="L71" s="188"/>
      <c r="M71" s="195"/>
      <c r="N71" s="195"/>
      <c r="O71" s="145"/>
      <c r="P71" s="188"/>
      <c r="Q71" s="142"/>
      <c r="R71" s="142"/>
      <c r="S71" s="126"/>
      <c r="T71" s="178" t="str">
        <f t="shared" si="36"/>
        <v>SI</v>
      </c>
      <c r="U71" s="76"/>
      <c r="V71" s="217"/>
      <c r="W71" s="217"/>
      <c r="X71" s="217"/>
      <c r="Y71" s="217"/>
      <c r="Z71" s="218"/>
      <c r="AA71" s="219"/>
      <c r="AB71" s="219"/>
      <c r="AC71" s="219"/>
      <c r="AD71" s="220">
        <f>SUM(Z71:AC71)</f>
        <v>0</v>
      </c>
      <c r="AE71" s="221"/>
      <c r="AF71" s="222"/>
      <c r="AG71" s="223"/>
      <c r="AH71" s="223"/>
      <c r="AI71" s="223"/>
      <c r="AJ71" s="223"/>
      <c r="AK71" s="223"/>
      <c r="AL71" s="220">
        <f>+AD71-AE71</f>
        <v>0</v>
      </c>
      <c r="AM71" s="80">
        <f>+AL71*0.05</f>
        <v>0</v>
      </c>
      <c r="AN71" s="220">
        <f>+AL71-AH71-AK71</f>
        <v>0</v>
      </c>
      <c r="AO71" s="224">
        <f>IF(AL71&lt;3000,AL71*0.1,0)</f>
        <v>0</v>
      </c>
      <c r="AP71" s="80">
        <v>0</v>
      </c>
      <c r="AQ71" s="220">
        <f>+AL71+AO71+AP71</f>
        <v>0</v>
      </c>
      <c r="AR71" s="31"/>
      <c r="AS71" s="31"/>
      <c r="AT71" s="32"/>
      <c r="AU71" s="32"/>
      <c r="AV71" s="32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176"/>
      <c r="BI71" s="32"/>
      <c r="BJ71" s="33"/>
    </row>
    <row r="72" spans="1:64">
      <c r="A72" s="2" t="s">
        <v>128</v>
      </c>
      <c r="B72" s="1" t="s">
        <v>129</v>
      </c>
      <c r="C72" s="136">
        <f>+FISCAL!E72</f>
        <v>1200</v>
      </c>
      <c r="D72" s="136">
        <f>+FISCAL!F72</f>
        <v>2508</v>
      </c>
      <c r="E72" s="236">
        <v>0</v>
      </c>
      <c r="F72" s="136">
        <f t="shared" si="30"/>
        <v>3708</v>
      </c>
      <c r="G72" s="144"/>
      <c r="H72" s="136">
        <f>+FISCAL!H72</f>
        <v>3708</v>
      </c>
      <c r="I72" s="195">
        <f>-FISCAL!O72-AJ72</f>
        <v>-45.13</v>
      </c>
      <c r="J72" s="141">
        <f t="shared" si="31"/>
        <v>24</v>
      </c>
      <c r="K72" s="141">
        <f t="shared" si="32"/>
        <v>90</v>
      </c>
      <c r="L72" s="136">
        <f t="shared" si="33"/>
        <v>3776.87</v>
      </c>
      <c r="M72" s="141">
        <f t="shared" si="34"/>
        <v>604.29920000000004</v>
      </c>
      <c r="N72" s="141">
        <f t="shared" si="35"/>
        <v>4381.1692000000003</v>
      </c>
      <c r="O72" s="145"/>
      <c r="P72" s="136">
        <v>0</v>
      </c>
      <c r="Q72" s="142">
        <v>0</v>
      </c>
      <c r="R72" s="142">
        <v>0</v>
      </c>
      <c r="S72" s="126"/>
      <c r="T72" s="178" t="str">
        <f t="shared" ref="T72:T76" si="44">IF(B72=V72,"SI","NO")</f>
        <v>SI</v>
      </c>
      <c r="U72" s="40" t="s">
        <v>207</v>
      </c>
      <c r="V72" s="40" t="s">
        <v>259</v>
      </c>
      <c r="W72" s="40">
        <v>33</v>
      </c>
      <c r="X72" s="43">
        <v>39833</v>
      </c>
      <c r="Y72" s="40" t="s">
        <v>260</v>
      </c>
      <c r="Z72" s="177">
        <v>2508</v>
      </c>
      <c r="AA72" s="45"/>
      <c r="AB72" s="45"/>
      <c r="AC72" s="46"/>
      <c r="AD72" s="50">
        <f>SUM(Z72:AB72)-AC72</f>
        <v>2508</v>
      </c>
      <c r="AE72" s="57"/>
      <c r="AF72" s="89"/>
      <c r="AG72" s="47"/>
      <c r="AH72" s="47"/>
      <c r="AI72" s="47"/>
      <c r="AJ72" s="48"/>
      <c r="AK72" s="49">
        <v>0</v>
      </c>
      <c r="AL72" s="50">
        <f>+AD72-SUM(AE72:AK72)</f>
        <v>2508</v>
      </c>
      <c r="AM72" s="51">
        <f>IF(AD72&gt;4500,AD72*0.1,0)</f>
        <v>0</v>
      </c>
      <c r="AN72" s="50">
        <f>+AL72-AM72</f>
        <v>2508</v>
      </c>
      <c r="AO72" s="52">
        <f>IF(AD72&lt;4500,AD72*0.1,0)</f>
        <v>250.8</v>
      </c>
      <c r="AP72" s="51">
        <f>+'[1]C&amp;A'!X49*0.02</f>
        <v>0</v>
      </c>
      <c r="AQ72" s="50">
        <f>+AD72+AO72+AP72</f>
        <v>2758.8</v>
      </c>
      <c r="AR72" s="53"/>
      <c r="AS72" s="59"/>
      <c r="AT72" s="55">
        <f>+AR72+AS72-AN72</f>
        <v>-2508</v>
      </c>
      <c r="AU72" s="55"/>
      <c r="AV72" s="58"/>
      <c r="AW72" s="17"/>
      <c r="AX72" s="17"/>
      <c r="AY72" s="17"/>
      <c r="AZ72" s="17"/>
      <c r="BA72" s="17"/>
      <c r="BB72" s="17"/>
      <c r="BC72" s="17"/>
      <c r="BD72" s="17"/>
      <c r="BE72" s="17"/>
      <c r="BF72" s="32"/>
      <c r="BG72" s="32"/>
      <c r="BH72" s="33"/>
      <c r="BI72" s="32"/>
      <c r="BJ72" s="32"/>
    </row>
    <row r="73" spans="1:64">
      <c r="A73" s="2" t="s">
        <v>130</v>
      </c>
      <c r="B73" s="1" t="s">
        <v>131</v>
      </c>
      <c r="C73" s="136">
        <f>+FISCAL!E73</f>
        <v>1200</v>
      </c>
      <c r="D73" s="136">
        <f>+FISCAL!F73</f>
        <v>2760.24</v>
      </c>
      <c r="E73" s="236">
        <v>0</v>
      </c>
      <c r="F73" s="136">
        <f t="shared" si="30"/>
        <v>3960.24</v>
      </c>
      <c r="G73" s="144"/>
      <c r="H73" s="136">
        <f>+FISCAL!H73</f>
        <v>3960.24</v>
      </c>
      <c r="I73" s="195">
        <f>-FISCAL!O73-AJ73</f>
        <v>-45.13</v>
      </c>
      <c r="J73" s="141">
        <f t="shared" si="31"/>
        <v>24</v>
      </c>
      <c r="K73" s="141">
        <f t="shared" si="32"/>
        <v>90</v>
      </c>
      <c r="L73" s="136">
        <f t="shared" si="33"/>
        <v>4029.1099999999997</v>
      </c>
      <c r="M73" s="141">
        <f t="shared" si="34"/>
        <v>644.6576</v>
      </c>
      <c r="N73" s="141">
        <f t="shared" si="35"/>
        <v>4673.7675999999992</v>
      </c>
      <c r="O73" s="145"/>
      <c r="P73" s="136">
        <v>0</v>
      </c>
      <c r="Q73" s="142">
        <v>0</v>
      </c>
      <c r="R73" s="142">
        <v>0</v>
      </c>
      <c r="S73" s="126"/>
      <c r="T73" s="178" t="str">
        <f t="shared" si="44"/>
        <v>SI</v>
      </c>
      <c r="U73" s="58" t="s">
        <v>207</v>
      </c>
      <c r="V73" s="58" t="s">
        <v>261</v>
      </c>
      <c r="W73" s="64"/>
      <c r="X73" s="63">
        <v>42429</v>
      </c>
      <c r="Y73" s="40" t="s">
        <v>226</v>
      </c>
      <c r="Z73" s="177">
        <v>2760.24</v>
      </c>
      <c r="AA73" s="45"/>
      <c r="AB73" s="45"/>
      <c r="AC73" s="46"/>
      <c r="AD73" s="50">
        <f>SUM(Z73:AB73)-AC73</f>
        <v>2760.24</v>
      </c>
      <c r="AE73" s="57"/>
      <c r="AF73" s="89"/>
      <c r="AG73" s="47"/>
      <c r="AH73" s="47"/>
      <c r="AI73" s="47"/>
      <c r="AJ73" s="65"/>
      <c r="AK73" s="49">
        <v>0</v>
      </c>
      <c r="AL73" s="50">
        <f>+AD73-SUM(AE73:AK73)</f>
        <v>2760.24</v>
      </c>
      <c r="AM73" s="51">
        <f>IF(AD73&gt;4500,AD73*0.1,0)</f>
        <v>0</v>
      </c>
      <c r="AN73" s="50">
        <f>+AL73-AM73</f>
        <v>2760.24</v>
      </c>
      <c r="AO73" s="52">
        <f>IF(AD73&lt;4500,AD73*0.1,0)</f>
        <v>276.024</v>
      </c>
      <c r="AP73" s="51">
        <f>+'[1]C&amp;A'!X51*0.02</f>
        <v>0</v>
      </c>
      <c r="AQ73" s="50">
        <f>+AD73+AO73+AP73</f>
        <v>3036.2639999999997</v>
      </c>
      <c r="AR73" s="53"/>
      <c r="AS73" s="59"/>
      <c r="AT73" s="55">
        <f>+AR73+AS73-AN73</f>
        <v>-2760.24</v>
      </c>
      <c r="AU73" s="55"/>
      <c r="AV73" s="58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2"/>
      <c r="BI73" s="17"/>
      <c r="BJ73" s="32"/>
    </row>
    <row r="74" spans="1:64">
      <c r="A74" s="2" t="s">
        <v>132</v>
      </c>
      <c r="B74" s="1" t="s">
        <v>294</v>
      </c>
      <c r="C74" s="136">
        <f>+FISCAL!E74</f>
        <v>2000</v>
      </c>
      <c r="D74" s="136">
        <f>+FISCAL!F74</f>
        <v>14672.25</v>
      </c>
      <c r="E74" s="236">
        <v>0</v>
      </c>
      <c r="F74" s="136">
        <f t="shared" si="30"/>
        <v>16672.25</v>
      </c>
      <c r="G74" s="144"/>
      <c r="H74" s="136">
        <f>+FISCAL!H74</f>
        <v>16672.25</v>
      </c>
      <c r="I74" s="195">
        <f>-FISCAL!O74-AJ74</f>
        <v>-45.13</v>
      </c>
      <c r="J74" s="141">
        <f t="shared" si="31"/>
        <v>40</v>
      </c>
      <c r="K74" s="141">
        <f t="shared" si="32"/>
        <v>150</v>
      </c>
      <c r="L74" s="136">
        <f t="shared" si="33"/>
        <v>16817.12</v>
      </c>
      <c r="M74" s="141">
        <f t="shared" si="34"/>
        <v>2690.7392</v>
      </c>
      <c r="N74" s="141">
        <f t="shared" si="35"/>
        <v>19507.859199999999</v>
      </c>
      <c r="O74" s="145"/>
      <c r="P74" s="136">
        <v>0</v>
      </c>
      <c r="Q74" s="142">
        <v>0</v>
      </c>
      <c r="R74" s="142">
        <v>0</v>
      </c>
      <c r="S74" s="126"/>
      <c r="T74" s="178" t="str">
        <f t="shared" si="44"/>
        <v>SI</v>
      </c>
      <c r="U74" s="40" t="s">
        <v>174</v>
      </c>
      <c r="V74" s="40" t="s">
        <v>265</v>
      </c>
      <c r="W74" s="42" t="s">
        <v>266</v>
      </c>
      <c r="X74" s="43">
        <v>40298</v>
      </c>
      <c r="Y74" s="40" t="s">
        <v>267</v>
      </c>
      <c r="Z74" s="177">
        <f>1600+13072.25</f>
        <v>14672.25</v>
      </c>
      <c r="AA74" s="45"/>
      <c r="AB74" s="45"/>
      <c r="AC74" s="46"/>
      <c r="AD74" s="50">
        <f>SUM(Z74:AB74)-AC74</f>
        <v>14672.25</v>
      </c>
      <c r="AE74" s="57"/>
      <c r="AF74" s="89"/>
      <c r="AG74" s="47"/>
      <c r="AH74" s="47"/>
      <c r="AI74" s="47"/>
      <c r="AJ74" s="48"/>
      <c r="AK74" s="49">
        <v>350</v>
      </c>
      <c r="AL74" s="50">
        <f>+AD74-SUM(AE74:AK74)</f>
        <v>14322.25</v>
      </c>
      <c r="AM74" s="51">
        <f>IF(AD74&gt;4500,AD74*0.1,0)</f>
        <v>1467.2250000000001</v>
      </c>
      <c r="AN74" s="50">
        <f>+AL74-AM74</f>
        <v>12855.025</v>
      </c>
      <c r="AO74" s="52">
        <f>IF(AD74&lt;4500,AD74*0.1,0)</f>
        <v>0</v>
      </c>
      <c r="AP74" s="51">
        <f>+'[1]C&amp;A'!X53*0.02</f>
        <v>0</v>
      </c>
      <c r="AQ74" s="50">
        <f>+AD74+AO74+AP74</f>
        <v>14672.25</v>
      </c>
      <c r="AR74" s="53"/>
      <c r="AS74" s="59"/>
      <c r="AT74" s="55">
        <f>+AR74+AS74-AN74</f>
        <v>-12855.025</v>
      </c>
      <c r="AU74" s="55"/>
      <c r="AV74" s="60" t="s">
        <v>319</v>
      </c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17"/>
      <c r="BI74" s="17"/>
      <c r="BJ74" s="32"/>
    </row>
    <row r="75" spans="1:64">
      <c r="A75" s="2" t="s">
        <v>133</v>
      </c>
      <c r="B75" s="1" t="s">
        <v>134</v>
      </c>
      <c r="C75" s="136">
        <f>+FISCAL!E75</f>
        <v>1200</v>
      </c>
      <c r="D75" s="136">
        <f>+FISCAL!F75</f>
        <v>4070.14</v>
      </c>
      <c r="E75" s="236">
        <v>0</v>
      </c>
      <c r="F75" s="136">
        <f t="shared" si="30"/>
        <v>5270.1399999999994</v>
      </c>
      <c r="G75" s="144"/>
      <c r="H75" s="136">
        <f>+FISCAL!H75</f>
        <v>5270.1399999999994</v>
      </c>
      <c r="I75" s="195">
        <f>-FISCAL!O75-AJ75</f>
        <v>-45.13</v>
      </c>
      <c r="J75" s="141">
        <f t="shared" si="31"/>
        <v>24</v>
      </c>
      <c r="K75" s="141">
        <f t="shared" si="32"/>
        <v>90</v>
      </c>
      <c r="L75" s="136">
        <f t="shared" si="33"/>
        <v>5339.0099999999993</v>
      </c>
      <c r="M75" s="141">
        <f t="shared" si="34"/>
        <v>854.24159999999995</v>
      </c>
      <c r="N75" s="141">
        <f t="shared" si="35"/>
        <v>6193.2515999999996</v>
      </c>
      <c r="O75" s="145"/>
      <c r="P75" s="136">
        <v>0</v>
      </c>
      <c r="Q75" s="142">
        <v>0</v>
      </c>
      <c r="R75" s="142">
        <v>0</v>
      </c>
      <c r="S75" s="126"/>
      <c r="T75" s="178" t="str">
        <f t="shared" si="44"/>
        <v>SI</v>
      </c>
      <c r="U75" s="40" t="s">
        <v>207</v>
      </c>
      <c r="V75" s="40" t="s">
        <v>286</v>
      </c>
      <c r="W75" s="40"/>
      <c r="X75" s="43">
        <v>42632</v>
      </c>
      <c r="Y75" s="40" t="s">
        <v>226</v>
      </c>
      <c r="Z75" s="177">
        <v>4070.14</v>
      </c>
      <c r="AA75" s="45"/>
      <c r="AB75" s="45"/>
      <c r="AC75" s="46"/>
      <c r="AD75" s="50">
        <f>SUM(Z75:AB75)-AC75</f>
        <v>4070.14</v>
      </c>
      <c r="AE75" s="57"/>
      <c r="AF75" s="89"/>
      <c r="AG75" s="47"/>
      <c r="AH75" s="47"/>
      <c r="AI75" s="47"/>
      <c r="AJ75" s="48"/>
      <c r="AK75" s="49">
        <v>0</v>
      </c>
      <c r="AL75" s="50">
        <f>+AD75-SUM(AE75:AK75)</f>
        <v>4070.14</v>
      </c>
      <c r="AM75" s="51">
        <f>IF(AD75&gt;4500,AD75*0.1,0)</f>
        <v>0</v>
      </c>
      <c r="AN75" s="50">
        <f>+AL75-AM75</f>
        <v>4070.14</v>
      </c>
      <c r="AO75" s="52"/>
      <c r="AP75" s="51"/>
      <c r="AQ75" s="50"/>
      <c r="AR75" s="53"/>
      <c r="AS75" s="54"/>
      <c r="AT75" s="55"/>
      <c r="AU75" s="73">
        <v>2643837181</v>
      </c>
      <c r="AV75" s="58"/>
      <c r="AW75" s="33"/>
      <c r="AX75" s="33"/>
      <c r="AY75" s="33"/>
      <c r="AZ75" s="33"/>
      <c r="BA75" s="33"/>
      <c r="BB75" s="33"/>
      <c r="BC75" s="33"/>
      <c r="BD75" s="33"/>
      <c r="BE75" s="56"/>
      <c r="BF75" s="33"/>
      <c r="BG75" s="33"/>
      <c r="BH75" s="33"/>
      <c r="BI75" s="32"/>
      <c r="BJ75" s="17"/>
    </row>
    <row r="76" spans="1:64">
      <c r="A76" s="2" t="s">
        <v>135</v>
      </c>
      <c r="B76" s="1" t="s">
        <v>136</v>
      </c>
      <c r="C76" s="136">
        <f>+FISCAL!E76</f>
        <v>1200</v>
      </c>
      <c r="D76" s="136">
        <f>+FISCAL!F76</f>
        <v>1046.76</v>
      </c>
      <c r="E76" s="236">
        <v>0</v>
      </c>
      <c r="F76" s="136">
        <f t="shared" si="30"/>
        <v>2246.7600000000002</v>
      </c>
      <c r="G76" s="144"/>
      <c r="H76" s="136">
        <f>+FISCAL!H76</f>
        <v>2246.7600000000002</v>
      </c>
      <c r="I76" s="195">
        <f>-FISCAL!O76-AJ76</f>
        <v>-45.13</v>
      </c>
      <c r="J76" s="141">
        <f t="shared" si="31"/>
        <v>24</v>
      </c>
      <c r="K76" s="141">
        <f t="shared" si="32"/>
        <v>90</v>
      </c>
      <c r="L76" s="136">
        <f t="shared" si="33"/>
        <v>2315.63</v>
      </c>
      <c r="M76" s="141">
        <f t="shared" si="34"/>
        <v>370.50080000000003</v>
      </c>
      <c r="N76" s="141">
        <f t="shared" si="35"/>
        <v>2686.1307999999999</v>
      </c>
      <c r="O76" s="145"/>
      <c r="P76" s="136">
        <v>0</v>
      </c>
      <c r="Q76" s="142">
        <v>0</v>
      </c>
      <c r="R76" s="142">
        <v>0</v>
      </c>
      <c r="S76" s="126"/>
      <c r="T76" s="178" t="str">
        <f t="shared" si="44"/>
        <v>SI</v>
      </c>
      <c r="U76" s="40" t="s">
        <v>207</v>
      </c>
      <c r="V76" s="40" t="s">
        <v>288</v>
      </c>
      <c r="W76" s="42" t="s">
        <v>289</v>
      </c>
      <c r="X76" s="43">
        <v>41939</v>
      </c>
      <c r="Y76" s="40" t="s">
        <v>206</v>
      </c>
      <c r="Z76" s="177">
        <v>1046.76</v>
      </c>
      <c r="AA76" s="45"/>
      <c r="AB76" s="45"/>
      <c r="AC76" s="46"/>
      <c r="AD76" s="50">
        <f>SUM(Z76:AB76)-AC76</f>
        <v>1046.76</v>
      </c>
      <c r="AE76" s="57"/>
      <c r="AF76" s="88"/>
      <c r="AG76" s="47"/>
      <c r="AH76" s="47"/>
      <c r="AI76" s="47"/>
      <c r="AJ76" s="48"/>
      <c r="AK76" s="49">
        <v>301</v>
      </c>
      <c r="AL76" s="50">
        <f>+AD76-SUM(AE76:AK76)</f>
        <v>745.76</v>
      </c>
      <c r="AM76" s="51">
        <f>IF(AD76&gt;4500,AD76*0.1,0)</f>
        <v>0</v>
      </c>
      <c r="AN76" s="50">
        <f>+AL76-AM76</f>
        <v>745.76</v>
      </c>
      <c r="AO76" s="52">
        <f>IF(AD76&lt;4500,AD76*0.1,0)</f>
        <v>104.676</v>
      </c>
      <c r="AP76" s="51">
        <f>+'[1]C&amp;A'!X63*0.02</f>
        <v>0</v>
      </c>
      <c r="AQ76" s="50">
        <f>+AD76+AO76+AP76</f>
        <v>1151.4359999999999</v>
      </c>
      <c r="AR76" s="53"/>
      <c r="AS76" s="59"/>
      <c r="AT76" s="55">
        <f>+AR76+AS76-AN76</f>
        <v>-745.76</v>
      </c>
      <c r="AU76" s="55"/>
      <c r="AV76" s="58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17"/>
      <c r="BJ76" s="17"/>
    </row>
    <row r="77" spans="1:64">
      <c r="A77" s="14" t="s">
        <v>108</v>
      </c>
      <c r="B77" s="7"/>
      <c r="C77" s="7" t="s">
        <v>109</v>
      </c>
      <c r="D77" s="134" t="s">
        <v>109</v>
      </c>
      <c r="E77" s="134" t="s">
        <v>109</v>
      </c>
      <c r="F77" s="134" t="s">
        <v>109</v>
      </c>
      <c r="G77" s="134"/>
      <c r="H77" s="134" t="s">
        <v>109</v>
      </c>
      <c r="I77" s="134" t="s">
        <v>109</v>
      </c>
      <c r="J77" s="134" t="s">
        <v>109</v>
      </c>
      <c r="K77" s="134" t="s">
        <v>109</v>
      </c>
      <c r="L77" s="134" t="s">
        <v>109</v>
      </c>
      <c r="M77" s="134" t="s">
        <v>109</v>
      </c>
      <c r="N77" s="134" t="s">
        <v>109</v>
      </c>
      <c r="O77" s="131"/>
      <c r="P77" s="134" t="s">
        <v>109</v>
      </c>
      <c r="Q77" s="134" t="s">
        <v>109</v>
      </c>
      <c r="R77" s="134" t="s">
        <v>109</v>
      </c>
      <c r="S77" s="126"/>
      <c r="T77" s="178"/>
      <c r="AA77" s="32"/>
      <c r="AB77" s="32"/>
      <c r="AC77" s="32"/>
      <c r="AD77" s="32"/>
      <c r="AE77" s="32"/>
      <c r="AF77" s="94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2"/>
      <c r="BJ77" s="32"/>
    </row>
    <row r="78" spans="1:64" s="7" customFormat="1" ht="16.5" thickBot="1">
      <c r="A78" s="2"/>
      <c r="B78" s="1"/>
      <c r="C78" s="16">
        <f>SUM(C61:C77)</f>
        <v>18150.05</v>
      </c>
      <c r="D78" s="137">
        <f t="shared" ref="D78:F78" si="45">SUM(D61:D77)</f>
        <v>56444.51</v>
      </c>
      <c r="E78" s="137">
        <f t="shared" si="45"/>
        <v>0</v>
      </c>
      <c r="F78" s="137">
        <f t="shared" si="45"/>
        <v>74594.559999999998</v>
      </c>
      <c r="G78" s="137"/>
      <c r="H78" s="137">
        <f t="shared" ref="H78" si="46">SUM(H61:H77)</f>
        <v>74594.559999999998</v>
      </c>
      <c r="I78" s="137">
        <f t="shared" ref="I78" si="47">SUM(I61:I77)</f>
        <v>-586.69000000000005</v>
      </c>
      <c r="J78" s="137">
        <f t="shared" ref="J78" si="48">SUM(J61:J77)</f>
        <v>363.00099999999998</v>
      </c>
      <c r="K78" s="137">
        <f t="shared" ref="K78" si="49">SUM(K61:K77)</f>
        <v>1361.2537499999999</v>
      </c>
      <c r="L78" s="137">
        <f t="shared" ref="L78" si="50">SUM(L61:L77)</f>
        <v>75732.124750000003</v>
      </c>
      <c r="M78" s="137">
        <f t="shared" ref="M78" si="51">SUM(M61:M77)</f>
        <v>12117.139959999999</v>
      </c>
      <c r="N78" s="137">
        <f t="shared" ref="N78" si="52">SUM(N61:N77)</f>
        <v>87849.264709999989</v>
      </c>
      <c r="O78" s="131"/>
      <c r="P78" s="137">
        <f t="shared" ref="P78" si="53">SUM(P61:P77)</f>
        <v>0</v>
      </c>
      <c r="Q78" s="137">
        <f t="shared" ref="Q78" si="54">SUM(Q61:Q77)</f>
        <v>0</v>
      </c>
      <c r="R78" s="137">
        <f t="shared" ref="R78" si="55">SUM(R61:R77)</f>
        <v>0</v>
      </c>
      <c r="S78" s="126"/>
      <c r="T78" s="178"/>
      <c r="U78" s="32"/>
      <c r="V78" s="83" t="s">
        <v>290</v>
      </c>
      <c r="W78" s="32"/>
      <c r="X78" s="32"/>
      <c r="Y78" s="32"/>
      <c r="Z78" s="97">
        <f>SUM(Z61:Z77)</f>
        <v>56444.51</v>
      </c>
      <c r="AA78" s="32"/>
      <c r="AB78" s="32"/>
      <c r="AC78" s="32"/>
      <c r="AD78" s="32"/>
      <c r="AE78" s="32"/>
      <c r="AF78" s="94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3"/>
      <c r="BH78" s="33"/>
      <c r="BI78" s="17"/>
      <c r="BJ78" s="17"/>
    </row>
    <row r="79" spans="1:64" ht="16.5" thickTop="1">
      <c r="D79" s="131"/>
      <c r="E79" s="131"/>
      <c r="F79" s="131"/>
      <c r="G79" s="131"/>
      <c r="H79" s="141"/>
      <c r="I79" s="141"/>
      <c r="J79" s="141"/>
      <c r="K79" s="141"/>
      <c r="L79" s="141"/>
      <c r="M79" s="141"/>
      <c r="N79" s="141"/>
      <c r="O79" s="131"/>
      <c r="P79" s="131"/>
      <c r="Q79" s="131"/>
      <c r="R79" s="131"/>
      <c r="S79" s="127"/>
      <c r="T79" s="178"/>
      <c r="AA79" s="32"/>
      <c r="AB79" s="32"/>
      <c r="AC79" s="32"/>
      <c r="AD79" s="32"/>
      <c r="AE79" s="32"/>
      <c r="AF79" s="94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3"/>
      <c r="BI79" s="33"/>
      <c r="BJ79" s="33"/>
      <c r="BK79" s="7"/>
      <c r="BL79" s="7"/>
    </row>
    <row r="80" spans="1:64">
      <c r="A80" s="13"/>
      <c r="B80" s="7"/>
      <c r="C80" s="7" t="s">
        <v>137</v>
      </c>
      <c r="D80" s="134" t="s">
        <v>137</v>
      </c>
      <c r="E80" s="134" t="s">
        <v>137</v>
      </c>
      <c r="F80" s="134" t="s">
        <v>137</v>
      </c>
      <c r="G80" s="134"/>
      <c r="H80" s="134" t="s">
        <v>137</v>
      </c>
      <c r="I80" s="134" t="s">
        <v>137</v>
      </c>
      <c r="J80" s="134" t="s">
        <v>137</v>
      </c>
      <c r="K80" s="134" t="s">
        <v>137</v>
      </c>
      <c r="L80" s="134" t="s">
        <v>137</v>
      </c>
      <c r="M80" s="134" t="s">
        <v>137</v>
      </c>
      <c r="N80" s="134" t="s">
        <v>137</v>
      </c>
      <c r="O80" s="131"/>
      <c r="P80" s="134" t="s">
        <v>137</v>
      </c>
      <c r="Q80" s="134" t="s">
        <v>137</v>
      </c>
      <c r="R80" s="134" t="s">
        <v>137</v>
      </c>
      <c r="S80" s="128"/>
      <c r="T80" s="178"/>
      <c r="V80" s="32" t="s">
        <v>323</v>
      </c>
      <c r="Z80" s="97">
        <f>+Z57+Z78</f>
        <v>567812.34</v>
      </c>
      <c r="AA80" s="32"/>
      <c r="AB80" s="32"/>
      <c r="AC80" s="32"/>
      <c r="AD80" s="32"/>
      <c r="AE80" s="32"/>
      <c r="AF80" s="94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BF80" s="17"/>
      <c r="BG80" s="17"/>
      <c r="BH80" s="33"/>
      <c r="BI80" s="33"/>
      <c r="BJ80" s="17"/>
    </row>
    <row r="81" spans="1:62" s="7" customFormat="1">
      <c r="A81" s="14" t="s">
        <v>138</v>
      </c>
      <c r="B81" s="1" t="s">
        <v>139</v>
      </c>
      <c r="C81" s="16">
        <f>+C78+C55</f>
        <v>213486.06999999998</v>
      </c>
      <c r="D81" s="137">
        <f>+D78+D55</f>
        <v>56444.51</v>
      </c>
      <c r="E81" s="137">
        <f>+E78+E55</f>
        <v>511367.82999999996</v>
      </c>
      <c r="F81" s="137">
        <f>+F78+F55</f>
        <v>781298.40999999992</v>
      </c>
      <c r="G81" s="137"/>
      <c r="H81" s="137">
        <f t="shared" ref="H81:N81" si="56">+H78+H55</f>
        <v>269930.57999999996</v>
      </c>
      <c r="I81" s="137">
        <f t="shared" si="56"/>
        <v>-4396.8900000000031</v>
      </c>
      <c r="J81" s="137">
        <f t="shared" si="56"/>
        <v>4269.7214000000004</v>
      </c>
      <c r="K81" s="137">
        <f t="shared" si="56"/>
        <v>16011.455249999997</v>
      </c>
      <c r="L81" s="137">
        <f t="shared" si="56"/>
        <v>285814.86664999998</v>
      </c>
      <c r="M81" s="137">
        <f t="shared" si="56"/>
        <v>45730.378664000018</v>
      </c>
      <c r="N81" s="137">
        <f t="shared" si="56"/>
        <v>331545.24531399994</v>
      </c>
      <c r="O81" s="131"/>
      <c r="P81" s="137">
        <f>+P78+P55</f>
        <v>511367.82999999996</v>
      </c>
      <c r="Q81" s="137">
        <f>+Q78+Q55</f>
        <v>81818.852799999993</v>
      </c>
      <c r="R81" s="137">
        <f>+R78+R55</f>
        <v>593186.68279999995</v>
      </c>
      <c r="S81" s="124"/>
      <c r="T81" s="178"/>
      <c r="U81" s="32"/>
      <c r="V81" s="32"/>
      <c r="W81" s="32"/>
      <c r="X81" s="32"/>
      <c r="Y81" s="32"/>
      <c r="Z81" s="97"/>
      <c r="AA81" s="32"/>
      <c r="AB81" s="32"/>
      <c r="AC81" s="32"/>
      <c r="AD81" s="32"/>
      <c r="AE81" s="32"/>
      <c r="AF81" s="94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7"/>
      <c r="BJ81" s="1"/>
    </row>
    <row r="82" spans="1:62">
      <c r="D82" s="131"/>
      <c r="E82" s="131"/>
      <c r="F82" s="131"/>
      <c r="G82" s="131"/>
      <c r="H82" s="146"/>
      <c r="I82" s="131"/>
      <c r="J82" s="131"/>
      <c r="K82" s="131"/>
      <c r="L82" s="131"/>
      <c r="M82" s="131"/>
      <c r="N82" s="131"/>
      <c r="O82" s="134"/>
      <c r="P82" s="131"/>
      <c r="Q82" s="131"/>
      <c r="R82" s="131"/>
      <c r="S82" s="127"/>
      <c r="AA82" s="32"/>
      <c r="AB82" s="32"/>
      <c r="AC82" s="32"/>
      <c r="AD82" s="32"/>
      <c r="AE82" s="32"/>
      <c r="AF82" s="94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BH82" s="17"/>
    </row>
    <row r="83" spans="1:62">
      <c r="C83" s="1" t="s">
        <v>139</v>
      </c>
      <c r="D83" s="133" t="s">
        <v>139</v>
      </c>
      <c r="E83" s="131"/>
      <c r="F83" s="131"/>
      <c r="G83" s="131"/>
      <c r="H83" s="131"/>
      <c r="I83" s="133" t="s">
        <v>139</v>
      </c>
      <c r="J83" s="133" t="s">
        <v>139</v>
      </c>
      <c r="K83" s="133" t="s">
        <v>139</v>
      </c>
      <c r="L83" s="133" t="s">
        <v>139</v>
      </c>
      <c r="M83" s="133" t="s">
        <v>139</v>
      </c>
      <c r="N83" s="133" t="s">
        <v>139</v>
      </c>
      <c r="O83" s="131"/>
      <c r="P83" s="133" t="s">
        <v>139</v>
      </c>
      <c r="Q83" s="133" t="s">
        <v>139</v>
      </c>
      <c r="R83" s="133" t="s">
        <v>139</v>
      </c>
      <c r="S83" s="128"/>
      <c r="AA83" s="32"/>
      <c r="AB83" s="32"/>
      <c r="AC83" s="32"/>
      <c r="AD83" s="32"/>
      <c r="AE83" s="32"/>
      <c r="AF83" s="94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BH83" s="17"/>
      <c r="BI83" s="17"/>
      <c r="BJ83" s="7"/>
    </row>
    <row r="85" spans="1:62"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4"/>
      <c r="P85" s="131"/>
      <c r="Q85" s="131"/>
      <c r="R85" s="131"/>
      <c r="AA85" s="32"/>
      <c r="AB85" s="32"/>
      <c r="AC85" s="32"/>
      <c r="AD85" s="32"/>
      <c r="AE85" s="32"/>
      <c r="AF85" s="94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BI85" s="17"/>
      <c r="BJ85" s="17"/>
    </row>
    <row r="86" spans="1:62"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29"/>
      <c r="AA86" s="32"/>
      <c r="AB86" s="32"/>
      <c r="AC86" s="32"/>
      <c r="AD86" s="32"/>
      <c r="AE86" s="32"/>
      <c r="AF86" s="94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BJ86" s="17"/>
    </row>
    <row r="87" spans="1:62"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AA87" s="32"/>
      <c r="AB87" s="32"/>
      <c r="AC87" s="32"/>
      <c r="AD87" s="32"/>
      <c r="AE87" s="32"/>
      <c r="AF87" s="94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BJ87" s="17"/>
    </row>
    <row r="88" spans="1:62"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AA88" s="32"/>
      <c r="AB88" s="32"/>
      <c r="AC88" s="32"/>
      <c r="AD88" s="32"/>
      <c r="AE88" s="32"/>
      <c r="AF88" s="94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W88" s="178"/>
      <c r="AX88" s="178"/>
      <c r="AY88" s="178"/>
      <c r="AZ88" s="178"/>
    </row>
    <row r="89" spans="1:62" s="204" customFormat="1">
      <c r="A89" s="2" t="s">
        <v>49</v>
      </c>
      <c r="B89" s="1" t="s">
        <v>50</v>
      </c>
      <c r="C89" s="136" t="e">
        <f>+FISCAL!#REF!</f>
        <v>#REF!</v>
      </c>
      <c r="D89" s="136">
        <v>0</v>
      </c>
      <c r="E89" s="188">
        <f>+Z25</f>
        <v>11366.95</v>
      </c>
      <c r="F89" s="136" t="e">
        <f>SUM(C89:E89)</f>
        <v>#REF!</v>
      </c>
      <c r="G89" s="131"/>
      <c r="H89" s="136" t="e">
        <f>+C89</f>
        <v>#REF!</v>
      </c>
      <c r="I89" s="195">
        <f>-AJ25</f>
        <v>0</v>
      </c>
      <c r="J89" s="141" t="e">
        <f>+C89*0.02</f>
        <v>#REF!</v>
      </c>
      <c r="K89" s="141" t="e">
        <f>+C89*7.5%</f>
        <v>#REF!</v>
      </c>
      <c r="L89" s="136" t="e">
        <f>SUM(H89:K89)</f>
        <v>#REF!</v>
      </c>
      <c r="M89" s="141" t="e">
        <f>+L89*0.16</f>
        <v>#REF!</v>
      </c>
      <c r="N89" s="141" t="e">
        <f>+L89+M89</f>
        <v>#REF!</v>
      </c>
      <c r="O89" s="131"/>
      <c r="P89" s="136">
        <f>+E89</f>
        <v>11366.95</v>
      </c>
      <c r="Q89" s="142">
        <f>+P89*0.16</f>
        <v>1818.7120000000002</v>
      </c>
      <c r="R89" s="142">
        <f>+P89+Q89</f>
        <v>13185.662</v>
      </c>
      <c r="S89" s="126"/>
      <c r="T89" s="178" t="str">
        <f>IF(B89=V89,"SI","NO")</f>
        <v>NO</v>
      </c>
      <c r="U89" s="32"/>
      <c r="V89" s="32"/>
      <c r="W89" s="32"/>
      <c r="X89" s="32"/>
      <c r="Y89" s="32"/>
      <c r="Z89" s="97"/>
      <c r="AA89" s="32"/>
      <c r="AB89" s="32"/>
      <c r="AC89" s="32"/>
      <c r="AD89" s="32"/>
      <c r="AE89" s="32"/>
      <c r="AF89" s="94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178"/>
      <c r="AX89" s="178"/>
      <c r="AY89" s="178"/>
      <c r="AZ89" s="178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</row>
    <row r="90" spans="1:62"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AA90" s="32"/>
      <c r="AB90" s="32"/>
      <c r="AC90" s="32"/>
      <c r="AD90" s="32"/>
      <c r="AE90" s="32"/>
      <c r="AF90" s="94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W90" s="178"/>
      <c r="AX90" s="178"/>
      <c r="AY90" s="178"/>
      <c r="AZ90" s="178"/>
    </row>
    <row r="91" spans="1:62"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AA91" s="32"/>
      <c r="AB91" s="32"/>
      <c r="AC91" s="32"/>
      <c r="AD91" s="32"/>
      <c r="AE91" s="32"/>
      <c r="AF91" s="94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W91" s="178"/>
      <c r="AX91" s="178"/>
      <c r="AY91" s="178"/>
      <c r="AZ91" s="178"/>
    </row>
    <row r="92" spans="1:62"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AA92" s="32"/>
      <c r="AB92" s="32"/>
      <c r="AC92" s="32"/>
      <c r="AD92" s="32"/>
      <c r="AE92" s="32"/>
      <c r="AF92" s="94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</row>
    <row r="93" spans="1:62"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AA93" s="32"/>
      <c r="AB93" s="32"/>
      <c r="AC93" s="32"/>
      <c r="AD93" s="32"/>
      <c r="AE93" s="32"/>
      <c r="AF93" s="94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</row>
    <row r="94" spans="1:62"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AA94" s="32"/>
      <c r="AB94" s="32"/>
      <c r="AC94" s="32"/>
      <c r="AD94" s="32"/>
      <c r="AE94" s="32"/>
      <c r="AF94" s="94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</row>
    <row r="95" spans="1:62"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AA95" s="32"/>
      <c r="AB95" s="32"/>
      <c r="AC95" s="32"/>
      <c r="AD95" s="32"/>
      <c r="AE95" s="32"/>
      <c r="AF95" s="94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</row>
    <row r="96" spans="1:62"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AA96" s="32"/>
      <c r="AB96" s="32"/>
      <c r="AC96" s="32"/>
      <c r="AD96" s="32"/>
      <c r="AE96" s="32"/>
      <c r="AF96" s="94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</row>
    <row r="97" spans="8:45"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AA97" s="32"/>
      <c r="AB97" s="32"/>
      <c r="AC97" s="32"/>
      <c r="AD97" s="32"/>
      <c r="AE97" s="32"/>
      <c r="AF97" s="94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</row>
    <row r="98" spans="8:45"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AA98" s="32"/>
      <c r="AB98" s="32"/>
      <c r="AC98" s="32"/>
      <c r="AD98" s="32"/>
      <c r="AE98" s="32"/>
      <c r="AF98" s="94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</row>
    <row r="99" spans="8:45"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AA99" s="32"/>
      <c r="AB99" s="32"/>
      <c r="AC99" s="32"/>
      <c r="AD99" s="32"/>
      <c r="AE99" s="32"/>
      <c r="AF99" s="94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</row>
    <row r="100" spans="8:45"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AA100" s="32"/>
      <c r="AB100" s="32"/>
      <c r="AC100" s="32"/>
      <c r="AD100" s="32"/>
      <c r="AE100" s="32"/>
      <c r="AF100" s="94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</row>
    <row r="101" spans="8:45"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AA101" s="32"/>
      <c r="AB101" s="32"/>
      <c r="AC101" s="32"/>
      <c r="AD101" s="32"/>
      <c r="AE101" s="32"/>
      <c r="AF101" s="94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</row>
    <row r="102" spans="8:45"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AA102" s="32"/>
      <c r="AB102" s="32"/>
      <c r="AC102" s="32"/>
      <c r="AD102" s="32"/>
      <c r="AE102" s="32"/>
      <c r="AF102" s="94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</row>
    <row r="103" spans="8:45">
      <c r="AA103" s="32"/>
      <c r="AB103" s="32"/>
      <c r="AC103" s="32"/>
      <c r="AD103" s="32"/>
      <c r="AE103" s="32"/>
      <c r="AF103" s="94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</row>
    <row r="104" spans="8:45">
      <c r="AA104" s="32"/>
      <c r="AB104" s="32"/>
      <c r="AC104" s="32"/>
      <c r="AD104" s="32"/>
      <c r="AE104" s="32"/>
      <c r="AF104" s="94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</row>
    <row r="105" spans="8:45">
      <c r="AA105" s="32"/>
      <c r="AB105" s="32"/>
      <c r="AC105" s="32"/>
      <c r="AD105" s="32"/>
      <c r="AE105" s="32"/>
      <c r="AF105" s="94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</row>
    <row r="106" spans="8:45">
      <c r="AA106" s="32"/>
      <c r="AB106" s="32"/>
      <c r="AC106" s="32"/>
      <c r="AD106" s="32"/>
      <c r="AE106" s="32"/>
      <c r="AF106" s="94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</row>
    <row r="107" spans="8:45">
      <c r="AA107" s="32"/>
      <c r="AB107" s="32"/>
      <c r="AC107" s="32"/>
      <c r="AD107" s="32"/>
      <c r="AE107" s="32"/>
      <c r="AF107" s="94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</row>
    <row r="108" spans="8:45">
      <c r="AA108" s="32"/>
      <c r="AB108" s="32"/>
      <c r="AC108" s="32"/>
      <c r="AD108" s="32"/>
      <c r="AE108" s="32"/>
      <c r="AF108" s="94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</row>
    <row r="109" spans="8:45">
      <c r="AA109" s="32"/>
      <c r="AB109" s="32"/>
      <c r="AC109" s="32"/>
      <c r="AD109" s="32"/>
      <c r="AE109" s="32"/>
      <c r="AF109" s="94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</row>
    <row r="110" spans="8:45">
      <c r="AA110" s="32"/>
      <c r="AB110" s="32"/>
      <c r="AC110" s="32"/>
      <c r="AD110" s="32"/>
      <c r="AE110" s="32"/>
      <c r="AF110" s="94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</row>
    <row r="111" spans="8:45">
      <c r="AA111" s="32"/>
      <c r="AB111" s="32"/>
      <c r="AC111" s="32"/>
      <c r="AD111" s="32"/>
      <c r="AE111" s="32"/>
      <c r="AF111" s="94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</row>
    <row r="112" spans="8:45">
      <c r="AA112" s="32"/>
      <c r="AB112" s="32"/>
      <c r="AC112" s="32"/>
      <c r="AD112" s="32"/>
      <c r="AE112" s="32"/>
      <c r="AF112" s="94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</row>
    <row r="113" spans="27:45">
      <c r="AA113" s="32"/>
      <c r="AB113" s="32"/>
      <c r="AC113" s="32"/>
      <c r="AD113" s="32"/>
      <c r="AE113" s="32"/>
      <c r="AF113" s="94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</row>
    <row r="114" spans="27:45">
      <c r="AA114" s="32"/>
      <c r="AB114" s="32"/>
      <c r="AC114" s="32"/>
      <c r="AD114" s="32"/>
      <c r="AE114" s="32"/>
      <c r="AF114" s="94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</row>
    <row r="115" spans="27:45">
      <c r="AA115" s="32"/>
      <c r="AB115" s="32"/>
      <c r="AC115" s="32"/>
      <c r="AD115" s="32"/>
      <c r="AE115" s="32"/>
      <c r="AF115" s="94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</row>
    <row r="116" spans="27:45">
      <c r="AA116" s="32"/>
      <c r="AB116" s="32"/>
      <c r="AC116" s="32"/>
      <c r="AD116" s="32"/>
      <c r="AE116" s="32"/>
      <c r="AF116" s="94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</row>
    <row r="117" spans="27:45">
      <c r="AA117" s="32"/>
      <c r="AB117" s="32"/>
      <c r="AC117" s="32"/>
      <c r="AD117" s="32"/>
      <c r="AE117" s="32"/>
      <c r="AF117" s="94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</row>
    <row r="118" spans="27:45">
      <c r="AA118" s="32"/>
      <c r="AB118" s="32"/>
      <c r="AC118" s="32"/>
      <c r="AD118" s="32"/>
      <c r="AE118" s="32"/>
      <c r="AF118" s="94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</row>
    <row r="119" spans="27:45">
      <c r="AA119" s="32"/>
      <c r="AB119" s="32"/>
      <c r="AC119" s="32"/>
      <c r="AD119" s="32"/>
      <c r="AE119" s="32"/>
      <c r="AF119" s="94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</row>
    <row r="120" spans="27:45">
      <c r="AA120" s="32"/>
      <c r="AB120" s="32"/>
      <c r="AC120" s="32"/>
      <c r="AD120" s="32"/>
      <c r="AE120" s="32"/>
      <c r="AF120" s="94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</row>
    <row r="121" spans="27:45">
      <c r="AA121" s="32"/>
      <c r="AB121" s="32"/>
      <c r="AC121" s="32"/>
      <c r="AD121" s="32"/>
      <c r="AE121" s="32"/>
      <c r="AF121" s="94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</row>
    <row r="122" spans="27:45">
      <c r="AA122" s="32"/>
      <c r="AB122" s="32"/>
      <c r="AC122" s="32"/>
      <c r="AD122" s="32"/>
      <c r="AE122" s="32"/>
      <c r="AF122" s="94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</row>
    <row r="123" spans="27:45">
      <c r="AA123" s="32"/>
      <c r="AB123" s="32"/>
      <c r="AC123" s="32"/>
      <c r="AD123" s="32"/>
      <c r="AE123" s="32"/>
      <c r="AF123" s="94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</row>
    <row r="124" spans="27:45">
      <c r="AA124" s="32"/>
      <c r="AB124" s="32"/>
      <c r="AC124" s="32"/>
      <c r="AD124" s="32"/>
      <c r="AE124" s="32"/>
      <c r="AF124" s="94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</row>
    <row r="125" spans="27:45">
      <c r="AA125" s="32"/>
      <c r="AB125" s="32"/>
      <c r="AC125" s="32"/>
      <c r="AD125" s="32"/>
      <c r="AE125" s="32"/>
      <c r="AF125" s="94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</row>
    <row r="126" spans="27:45">
      <c r="AA126" s="32"/>
      <c r="AB126" s="32"/>
      <c r="AC126" s="32"/>
      <c r="AD126" s="32"/>
      <c r="AE126" s="32"/>
      <c r="AF126" s="94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</row>
    <row r="127" spans="27:45">
      <c r="AA127" s="32"/>
      <c r="AB127" s="32"/>
      <c r="AC127" s="32"/>
      <c r="AD127" s="32"/>
      <c r="AE127" s="32"/>
      <c r="AF127" s="94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</row>
    <row r="128" spans="27:45">
      <c r="AA128" s="32"/>
      <c r="AB128" s="32"/>
      <c r="AC128" s="32"/>
      <c r="AD128" s="32"/>
      <c r="AE128" s="32"/>
      <c r="AF128" s="94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</row>
    <row r="129" spans="27:45">
      <c r="AA129" s="32"/>
      <c r="AB129" s="32"/>
      <c r="AC129" s="32"/>
      <c r="AD129" s="32"/>
      <c r="AE129" s="32"/>
      <c r="AF129" s="94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</row>
    <row r="130" spans="27:45">
      <c r="AA130" s="32"/>
      <c r="AB130" s="32"/>
      <c r="AC130" s="32"/>
      <c r="AD130" s="32"/>
      <c r="AE130" s="32"/>
      <c r="AF130" s="94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</row>
    <row r="131" spans="27:45">
      <c r="AA131" s="32"/>
      <c r="AB131" s="32"/>
      <c r="AC131" s="32"/>
      <c r="AD131" s="32"/>
      <c r="AE131" s="32"/>
      <c r="AF131" s="94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</row>
    <row r="132" spans="27:45">
      <c r="AA132" s="32"/>
      <c r="AB132" s="32"/>
      <c r="AC132" s="32"/>
      <c r="AD132" s="32"/>
      <c r="AE132" s="32"/>
      <c r="AF132" s="94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</row>
    <row r="133" spans="27:45">
      <c r="AA133" s="32"/>
      <c r="AB133" s="32"/>
      <c r="AC133" s="32"/>
      <c r="AD133" s="32"/>
      <c r="AE133" s="32"/>
      <c r="AF133" s="94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</row>
    <row r="134" spans="27:45">
      <c r="AA134" s="32"/>
      <c r="AB134" s="32"/>
      <c r="AC134" s="32"/>
      <c r="AD134" s="32"/>
      <c r="AE134" s="32"/>
      <c r="AF134" s="94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</row>
    <row r="135" spans="27:45">
      <c r="AA135" s="32"/>
      <c r="AB135" s="32"/>
      <c r="AC135" s="32"/>
      <c r="AD135" s="32"/>
      <c r="AE135" s="32"/>
      <c r="AF135" s="94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</row>
    <row r="136" spans="27:45">
      <c r="AA136" s="32"/>
      <c r="AB136" s="32"/>
      <c r="AC136" s="32"/>
      <c r="AD136" s="32"/>
      <c r="AE136" s="32"/>
      <c r="AF136" s="94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</row>
    <row r="137" spans="27:45">
      <c r="AA137" s="32"/>
      <c r="AB137" s="32"/>
      <c r="AC137" s="32"/>
      <c r="AD137" s="32"/>
      <c r="AE137" s="32"/>
      <c r="AF137" s="94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</row>
    <row r="138" spans="27:45">
      <c r="AA138" s="32"/>
      <c r="AB138" s="32"/>
      <c r="AC138" s="32"/>
      <c r="AD138" s="32"/>
      <c r="AE138" s="32"/>
      <c r="AF138" s="94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</row>
    <row r="139" spans="27:45">
      <c r="AA139" s="32"/>
      <c r="AB139" s="32"/>
      <c r="AC139" s="32"/>
      <c r="AD139" s="32"/>
      <c r="AE139" s="32"/>
      <c r="AF139" s="94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</row>
    <row r="140" spans="27:45">
      <c r="AA140" s="32"/>
      <c r="AB140" s="32"/>
      <c r="AC140" s="32"/>
      <c r="AD140" s="32"/>
      <c r="AE140" s="32"/>
      <c r="AF140" s="94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</row>
    <row r="141" spans="27:45">
      <c r="AA141" s="32"/>
      <c r="AB141" s="32"/>
      <c r="AC141" s="32"/>
      <c r="AD141" s="32"/>
      <c r="AE141" s="32"/>
      <c r="AF141" s="94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</row>
    <row r="142" spans="27:45">
      <c r="AA142" s="32"/>
      <c r="AB142" s="32"/>
      <c r="AC142" s="32"/>
      <c r="AD142" s="32"/>
      <c r="AE142" s="32"/>
      <c r="AF142" s="94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</row>
    <row r="143" spans="27:45">
      <c r="AA143" s="32"/>
      <c r="AB143" s="32"/>
      <c r="AC143" s="32"/>
      <c r="AD143" s="32"/>
      <c r="AE143" s="32"/>
      <c r="AF143" s="94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</row>
    <row r="144" spans="27:45">
      <c r="AA144" s="32"/>
      <c r="AB144" s="32"/>
      <c r="AC144" s="32"/>
      <c r="AD144" s="32"/>
      <c r="AE144" s="32"/>
      <c r="AF144" s="94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</row>
    <row r="145" spans="27:45">
      <c r="AA145" s="32"/>
      <c r="AB145" s="32"/>
      <c r="AC145" s="32"/>
      <c r="AD145" s="32"/>
      <c r="AE145" s="32"/>
      <c r="AF145" s="94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</row>
    <row r="146" spans="27:45">
      <c r="AA146" s="32"/>
      <c r="AB146" s="32"/>
      <c r="AC146" s="32"/>
      <c r="AD146" s="32"/>
      <c r="AE146" s="32"/>
      <c r="AF146" s="94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</row>
    <row r="147" spans="27:45">
      <c r="AA147" s="32"/>
      <c r="AB147" s="32"/>
      <c r="AC147" s="32"/>
      <c r="AD147" s="32"/>
      <c r="AE147" s="32"/>
      <c r="AF147" s="94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</row>
    <row r="148" spans="27:45">
      <c r="AA148" s="32"/>
      <c r="AB148" s="32"/>
      <c r="AC148" s="32"/>
      <c r="AD148" s="32"/>
      <c r="AE148" s="32"/>
      <c r="AF148" s="94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</row>
    <row r="149" spans="27:45">
      <c r="AA149" s="32"/>
      <c r="AB149" s="32"/>
      <c r="AC149" s="32"/>
      <c r="AD149" s="32"/>
      <c r="AE149" s="32"/>
      <c r="AF149" s="94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</row>
    <row r="150" spans="27:45">
      <c r="AA150" s="32"/>
      <c r="AB150" s="32"/>
      <c r="AC150" s="32"/>
      <c r="AD150" s="32"/>
      <c r="AE150" s="32"/>
      <c r="AF150" s="94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</row>
    <row r="151" spans="27:45">
      <c r="AA151" s="32"/>
      <c r="AB151" s="32"/>
      <c r="AC151" s="32"/>
      <c r="AD151" s="32"/>
      <c r="AE151" s="32"/>
      <c r="AF151" s="94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</row>
    <row r="152" spans="27:45">
      <c r="AA152" s="32"/>
      <c r="AB152" s="32"/>
      <c r="AC152" s="32"/>
      <c r="AD152" s="32"/>
      <c r="AE152" s="32"/>
      <c r="AF152" s="94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</row>
    <row r="153" spans="27:45">
      <c r="AA153" s="32"/>
      <c r="AB153" s="32"/>
      <c r="AC153" s="32"/>
      <c r="AD153" s="32"/>
      <c r="AE153" s="32"/>
      <c r="AF153" s="94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</row>
    <row r="154" spans="27:45">
      <c r="AA154" s="32"/>
      <c r="AB154" s="32"/>
      <c r="AC154" s="32"/>
      <c r="AD154" s="32"/>
      <c r="AE154" s="32"/>
      <c r="AF154" s="94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</row>
    <row r="155" spans="27:45">
      <c r="AA155" s="32"/>
      <c r="AB155" s="32"/>
      <c r="AC155" s="32"/>
      <c r="AD155" s="32"/>
      <c r="AE155" s="32"/>
      <c r="AF155" s="94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</row>
    <row r="156" spans="27:45">
      <c r="AA156" s="32"/>
      <c r="AB156" s="32"/>
      <c r="AC156" s="32"/>
      <c r="AD156" s="32"/>
      <c r="AE156" s="32"/>
      <c r="AF156" s="94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</row>
    <row r="157" spans="27:45">
      <c r="AA157" s="32"/>
      <c r="AB157" s="32"/>
      <c r="AC157" s="32"/>
      <c r="AD157" s="32"/>
      <c r="AE157" s="32"/>
      <c r="AF157" s="94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</row>
    <row r="158" spans="27:45">
      <c r="AA158" s="32"/>
      <c r="AB158" s="32"/>
      <c r="AC158" s="32"/>
      <c r="AD158" s="32"/>
      <c r="AE158" s="32"/>
      <c r="AF158" s="94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</row>
    <row r="159" spans="27:45">
      <c r="AA159" s="32"/>
      <c r="AB159" s="32"/>
      <c r="AC159" s="32"/>
      <c r="AD159" s="32"/>
      <c r="AE159" s="32"/>
      <c r="AF159" s="94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</row>
    <row r="160" spans="27:45">
      <c r="AA160" s="32"/>
      <c r="AB160" s="32"/>
      <c r="AC160" s="32"/>
      <c r="AD160" s="32"/>
      <c r="AE160" s="32"/>
      <c r="AF160" s="94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</row>
    <row r="161" spans="27:45">
      <c r="AA161" s="32"/>
      <c r="AB161" s="32"/>
      <c r="AC161" s="32"/>
      <c r="AD161" s="32"/>
      <c r="AE161" s="32"/>
      <c r="AF161" s="94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</row>
    <row r="162" spans="27:45">
      <c r="AA162" s="32"/>
      <c r="AB162" s="32"/>
      <c r="AC162" s="32"/>
      <c r="AD162" s="32"/>
      <c r="AE162" s="32"/>
      <c r="AF162" s="94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</row>
    <row r="163" spans="27:45">
      <c r="AA163" s="32"/>
      <c r="AB163" s="32"/>
      <c r="AC163" s="32"/>
      <c r="AD163" s="32"/>
      <c r="AE163" s="32"/>
      <c r="AF163" s="94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</row>
    <row r="164" spans="27:45">
      <c r="AA164" s="32"/>
      <c r="AB164" s="32"/>
      <c r="AC164" s="32"/>
      <c r="AD164" s="32"/>
      <c r="AE164" s="32"/>
      <c r="AF164" s="94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</row>
    <row r="165" spans="27:45">
      <c r="AA165" s="32"/>
      <c r="AB165" s="32"/>
      <c r="AC165" s="32"/>
      <c r="AD165" s="32"/>
      <c r="AE165" s="32"/>
      <c r="AF165" s="94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</row>
    <row r="166" spans="27:45">
      <c r="AA166" s="32"/>
      <c r="AB166" s="32"/>
      <c r="AC166" s="32"/>
      <c r="AD166" s="32"/>
      <c r="AE166" s="32"/>
      <c r="AF166" s="94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</row>
    <row r="167" spans="27:45">
      <c r="AA167" s="32"/>
      <c r="AB167" s="32"/>
      <c r="AC167" s="32"/>
      <c r="AD167" s="32"/>
      <c r="AE167" s="32"/>
      <c r="AF167" s="94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</row>
    <row r="168" spans="27:45">
      <c r="AA168" s="32"/>
      <c r="AB168" s="32"/>
      <c r="AC168" s="32"/>
      <c r="AD168" s="32"/>
      <c r="AE168" s="32"/>
      <c r="AF168" s="94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</row>
    <row r="169" spans="27:45">
      <c r="AA169" s="32"/>
      <c r="AB169" s="32"/>
      <c r="AC169" s="32"/>
      <c r="AD169" s="32"/>
      <c r="AE169" s="32"/>
      <c r="AF169" s="94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</row>
    <row r="170" spans="27:45">
      <c r="AA170" s="32"/>
      <c r="AB170" s="32"/>
      <c r="AC170" s="32"/>
      <c r="AD170" s="32"/>
      <c r="AE170" s="32"/>
      <c r="AF170" s="94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</row>
    <row r="171" spans="27:45">
      <c r="AA171" s="32"/>
      <c r="AB171" s="32"/>
      <c r="AC171" s="32"/>
      <c r="AD171" s="32"/>
      <c r="AE171" s="32"/>
      <c r="AF171" s="94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</row>
    <row r="172" spans="27:45">
      <c r="AA172" s="32"/>
      <c r="AB172" s="32"/>
      <c r="AC172" s="32"/>
      <c r="AD172" s="32"/>
      <c r="AE172" s="32"/>
      <c r="AF172" s="94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</row>
    <row r="173" spans="27:45">
      <c r="AA173" s="32"/>
      <c r="AB173" s="32"/>
      <c r="AC173" s="32"/>
      <c r="AD173" s="32"/>
      <c r="AE173" s="32"/>
      <c r="AF173" s="94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</row>
    <row r="174" spans="27:45">
      <c r="AA174" s="32"/>
      <c r="AB174" s="32"/>
      <c r="AC174" s="32"/>
      <c r="AD174" s="32"/>
      <c r="AE174" s="32"/>
      <c r="AF174" s="94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</row>
    <row r="175" spans="27:45">
      <c r="AA175" s="32"/>
      <c r="AB175" s="32"/>
      <c r="AC175" s="32"/>
      <c r="AD175" s="32"/>
      <c r="AE175" s="32"/>
      <c r="AF175" s="94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</row>
    <row r="176" spans="27:45">
      <c r="AA176" s="32"/>
      <c r="AB176" s="32"/>
      <c r="AC176" s="32"/>
      <c r="AD176" s="32"/>
      <c r="AE176" s="32"/>
      <c r="AF176" s="94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</row>
    <row r="177" spans="27:45">
      <c r="AA177" s="32"/>
      <c r="AB177" s="32"/>
      <c r="AC177" s="32"/>
      <c r="AD177" s="32"/>
      <c r="AE177" s="32"/>
      <c r="AF177" s="94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</row>
    <row r="178" spans="27:45">
      <c r="AA178" s="32"/>
      <c r="AB178" s="32"/>
      <c r="AC178" s="32"/>
      <c r="AD178" s="32"/>
      <c r="AE178" s="32"/>
      <c r="AF178" s="94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</row>
    <row r="179" spans="27:45">
      <c r="AA179" s="32"/>
      <c r="AB179" s="32"/>
      <c r="AC179" s="32"/>
      <c r="AD179" s="32"/>
      <c r="AE179" s="32"/>
      <c r="AF179" s="94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</row>
    <row r="180" spans="27:45">
      <c r="AA180" s="32"/>
      <c r="AB180" s="32"/>
      <c r="AC180" s="32"/>
      <c r="AD180" s="32"/>
      <c r="AE180" s="32"/>
      <c r="AF180" s="94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</row>
    <row r="181" spans="27:45">
      <c r="AA181" s="32"/>
      <c r="AB181" s="32"/>
      <c r="AC181" s="32"/>
      <c r="AD181" s="32"/>
      <c r="AE181" s="32"/>
      <c r="AF181" s="94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</row>
    <row r="182" spans="27:45">
      <c r="AA182" s="32"/>
      <c r="AB182" s="32"/>
      <c r="AC182" s="32"/>
      <c r="AD182" s="32"/>
      <c r="AE182" s="32"/>
      <c r="AF182" s="94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</row>
    <row r="183" spans="27:45">
      <c r="AA183" s="32"/>
      <c r="AB183" s="32"/>
      <c r="AC183" s="32"/>
      <c r="AD183" s="32"/>
      <c r="AE183" s="32"/>
      <c r="AF183" s="94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</row>
    <row r="184" spans="27:45">
      <c r="AA184" s="32"/>
      <c r="AB184" s="32"/>
      <c r="AC184" s="32"/>
      <c r="AD184" s="32"/>
      <c r="AE184" s="32"/>
      <c r="AF184" s="94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</row>
    <row r="185" spans="27:45">
      <c r="AA185" s="32"/>
      <c r="AB185" s="32"/>
      <c r="AC185" s="32"/>
      <c r="AD185" s="32"/>
      <c r="AE185" s="32"/>
      <c r="AF185" s="94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</row>
    <row r="186" spans="27:45">
      <c r="AA186" s="32"/>
      <c r="AB186" s="32"/>
      <c r="AC186" s="32"/>
      <c r="AD186" s="32"/>
      <c r="AE186" s="32"/>
      <c r="AF186" s="94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</row>
    <row r="187" spans="27:45">
      <c r="AA187" s="32"/>
      <c r="AB187" s="32"/>
      <c r="AC187" s="32"/>
      <c r="AD187" s="32"/>
      <c r="AE187" s="32"/>
      <c r="AF187" s="94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</row>
    <row r="188" spans="27:45">
      <c r="AA188" s="32"/>
      <c r="AB188" s="32"/>
      <c r="AC188" s="32"/>
      <c r="AD188" s="32"/>
      <c r="AE188" s="32"/>
      <c r="AF188" s="94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</row>
    <row r="189" spans="27:45">
      <c r="AA189" s="32"/>
      <c r="AB189" s="32"/>
      <c r="AC189" s="32"/>
      <c r="AD189" s="32"/>
      <c r="AE189" s="32"/>
      <c r="AF189" s="94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</row>
    <row r="190" spans="27:45">
      <c r="AA190" s="32"/>
      <c r="AB190" s="32"/>
      <c r="AC190" s="32"/>
      <c r="AD190" s="32"/>
      <c r="AE190" s="32"/>
      <c r="AF190" s="94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</row>
    <row r="191" spans="27:45">
      <c r="AA191" s="32"/>
      <c r="AB191" s="32"/>
      <c r="AC191" s="32"/>
      <c r="AD191" s="32"/>
      <c r="AE191" s="32"/>
      <c r="AF191" s="94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</row>
    <row r="192" spans="27:45">
      <c r="AA192" s="32"/>
      <c r="AB192" s="32"/>
      <c r="AC192" s="32"/>
      <c r="AD192" s="32"/>
      <c r="AE192" s="32"/>
      <c r="AF192" s="94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</row>
    <row r="193" spans="27:45">
      <c r="AA193" s="32"/>
      <c r="AB193" s="32"/>
      <c r="AC193" s="32"/>
      <c r="AD193" s="32"/>
      <c r="AE193" s="32"/>
      <c r="AF193" s="94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</row>
    <row r="194" spans="27:45">
      <c r="AA194" s="32"/>
      <c r="AB194" s="32"/>
      <c r="AC194" s="32"/>
      <c r="AD194" s="32"/>
      <c r="AE194" s="32"/>
      <c r="AF194" s="94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</row>
    <row r="195" spans="27:45">
      <c r="AA195" s="32"/>
      <c r="AB195" s="32"/>
      <c r="AC195" s="32"/>
      <c r="AD195" s="32"/>
      <c r="AE195" s="32"/>
      <c r="AF195" s="94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</row>
    <row r="196" spans="27:45">
      <c r="AA196" s="32"/>
      <c r="AB196" s="32"/>
      <c r="AC196" s="32"/>
      <c r="AD196" s="32"/>
      <c r="AE196" s="32"/>
      <c r="AF196" s="94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</row>
    <row r="197" spans="27:45">
      <c r="AA197" s="32"/>
      <c r="AB197" s="32"/>
      <c r="AC197" s="32"/>
      <c r="AD197" s="32"/>
      <c r="AE197" s="32"/>
      <c r="AF197" s="94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</row>
    <row r="198" spans="27:45">
      <c r="AA198" s="32"/>
      <c r="AB198" s="32"/>
      <c r="AC198" s="32"/>
      <c r="AD198" s="32"/>
      <c r="AE198" s="32"/>
      <c r="AF198" s="94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</row>
    <row r="199" spans="27:45">
      <c r="AA199" s="32"/>
      <c r="AB199" s="32"/>
      <c r="AC199" s="32"/>
      <c r="AD199" s="32"/>
      <c r="AE199" s="32"/>
      <c r="AF199" s="94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</row>
    <row r="200" spans="27:45">
      <c r="AA200" s="32"/>
      <c r="AB200" s="32"/>
      <c r="AC200" s="32"/>
      <c r="AD200" s="32"/>
      <c r="AE200" s="32"/>
      <c r="AF200" s="94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</row>
    <row r="201" spans="27:45">
      <c r="AA201" s="32"/>
      <c r="AB201" s="32"/>
      <c r="AC201" s="32"/>
      <c r="AD201" s="32"/>
      <c r="AE201" s="32"/>
      <c r="AF201" s="94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</row>
    <row r="202" spans="27:45">
      <c r="AA202" s="32"/>
      <c r="AB202" s="32"/>
      <c r="AC202" s="32"/>
      <c r="AD202" s="32"/>
      <c r="AE202" s="32"/>
      <c r="AF202" s="94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</row>
    <row r="203" spans="27:45">
      <c r="AA203" s="32"/>
      <c r="AB203" s="32"/>
      <c r="AC203" s="32"/>
      <c r="AD203" s="32"/>
      <c r="AE203" s="32"/>
      <c r="AF203" s="94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</row>
    <row r="204" spans="27:45">
      <c r="AA204" s="32"/>
      <c r="AB204" s="32"/>
      <c r="AC204" s="32"/>
      <c r="AD204" s="32"/>
      <c r="AE204" s="32"/>
      <c r="AF204" s="94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</row>
    <row r="205" spans="27:45">
      <c r="AA205" s="32"/>
      <c r="AB205" s="32"/>
      <c r="AC205" s="32"/>
      <c r="AD205" s="32"/>
      <c r="AE205" s="32"/>
      <c r="AF205" s="94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</row>
    <row r="206" spans="27:45">
      <c r="AA206" s="32"/>
      <c r="AB206" s="32"/>
      <c r="AC206" s="32"/>
      <c r="AD206" s="32"/>
      <c r="AE206" s="32"/>
      <c r="AF206" s="94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</row>
    <row r="207" spans="27:45">
      <c r="AA207" s="32"/>
      <c r="AB207" s="32"/>
      <c r="AC207" s="32"/>
      <c r="AD207" s="32"/>
      <c r="AE207" s="32"/>
      <c r="AF207" s="94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</row>
    <row r="208" spans="27:45">
      <c r="AA208" s="32"/>
      <c r="AB208" s="32"/>
      <c r="AC208" s="32"/>
      <c r="AD208" s="32"/>
      <c r="AE208" s="32"/>
      <c r="AF208" s="94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</row>
    <row r="209" spans="27:45">
      <c r="AA209" s="32"/>
      <c r="AB209" s="32"/>
      <c r="AC209" s="32"/>
      <c r="AD209" s="32"/>
      <c r="AE209" s="32"/>
      <c r="AF209" s="94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</row>
    <row r="210" spans="27:45">
      <c r="AA210" s="32"/>
      <c r="AB210" s="32"/>
      <c r="AC210" s="32"/>
      <c r="AD210" s="32"/>
      <c r="AE210" s="32"/>
      <c r="AF210" s="94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</row>
    <row r="211" spans="27:45">
      <c r="AA211" s="32"/>
      <c r="AB211" s="32"/>
      <c r="AC211" s="32"/>
      <c r="AD211" s="32"/>
      <c r="AE211" s="32"/>
      <c r="AF211" s="94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</row>
    <row r="212" spans="27:45">
      <c r="AA212" s="32"/>
      <c r="AB212" s="32"/>
      <c r="AC212" s="32"/>
      <c r="AD212" s="32"/>
      <c r="AE212" s="32"/>
      <c r="AF212" s="94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</row>
    <row r="213" spans="27:45">
      <c r="AA213" s="32"/>
      <c r="AB213" s="32"/>
      <c r="AC213" s="32"/>
      <c r="AD213" s="32"/>
      <c r="AE213" s="32"/>
      <c r="AF213" s="94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</row>
    <row r="214" spans="27:45">
      <c r="AA214" s="32"/>
      <c r="AB214" s="32"/>
      <c r="AC214" s="32"/>
      <c r="AD214" s="32"/>
      <c r="AE214" s="32"/>
      <c r="AF214" s="94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</row>
    <row r="215" spans="27:45">
      <c r="AA215" s="32"/>
      <c r="AB215" s="32"/>
      <c r="AC215" s="32"/>
      <c r="AD215" s="32"/>
      <c r="AE215" s="32"/>
      <c r="AF215" s="94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</row>
    <row r="216" spans="27:45">
      <c r="AA216" s="32"/>
      <c r="AB216" s="32"/>
      <c r="AC216" s="32"/>
      <c r="AD216" s="32"/>
      <c r="AE216" s="32"/>
      <c r="AF216" s="94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</row>
    <row r="217" spans="27:45">
      <c r="AA217" s="32"/>
      <c r="AB217" s="32"/>
      <c r="AC217" s="32"/>
      <c r="AD217" s="32"/>
      <c r="AE217" s="32"/>
      <c r="AF217" s="94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</row>
    <row r="218" spans="27:45">
      <c r="AA218" s="32"/>
      <c r="AB218" s="32"/>
      <c r="AC218" s="32"/>
      <c r="AD218" s="32"/>
      <c r="AE218" s="32"/>
      <c r="AF218" s="94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</row>
    <row r="219" spans="27:45">
      <c r="AA219" s="32"/>
      <c r="AB219" s="32"/>
      <c r="AC219" s="32"/>
      <c r="AD219" s="32"/>
      <c r="AE219" s="32"/>
      <c r="AF219" s="94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</row>
    <row r="220" spans="27:45">
      <c r="AA220" s="32"/>
      <c r="AB220" s="32"/>
      <c r="AC220" s="32"/>
      <c r="AD220" s="32"/>
      <c r="AE220" s="32"/>
      <c r="AF220" s="94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</row>
    <row r="221" spans="27:45">
      <c r="AA221" s="32"/>
      <c r="AB221" s="32"/>
      <c r="AC221" s="32"/>
      <c r="AD221" s="32"/>
      <c r="AE221" s="32"/>
      <c r="AF221" s="94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</row>
    <row r="222" spans="27:45">
      <c r="AA222" s="32"/>
      <c r="AB222" s="32"/>
      <c r="AC222" s="32"/>
      <c r="AD222" s="32"/>
      <c r="AE222" s="32"/>
      <c r="AF222" s="94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</row>
    <row r="223" spans="27:45">
      <c r="AA223" s="32"/>
      <c r="AB223" s="32"/>
      <c r="AC223" s="32"/>
      <c r="AD223" s="32"/>
      <c r="AE223" s="32"/>
      <c r="AF223" s="94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</row>
    <row r="224" spans="27:45">
      <c r="AA224" s="32"/>
      <c r="AB224" s="32"/>
      <c r="AC224" s="32"/>
      <c r="AD224" s="32"/>
      <c r="AE224" s="32"/>
      <c r="AF224" s="94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</row>
    <row r="225" spans="27:45">
      <c r="AA225" s="32"/>
      <c r="AB225" s="32"/>
      <c r="AC225" s="32"/>
      <c r="AD225" s="32"/>
      <c r="AE225" s="32"/>
      <c r="AF225" s="94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</row>
    <row r="226" spans="27:45">
      <c r="AA226" s="32"/>
      <c r="AB226" s="32"/>
      <c r="AC226" s="32"/>
      <c r="AD226" s="32"/>
      <c r="AE226" s="32"/>
      <c r="AF226" s="94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</row>
    <row r="227" spans="27:45">
      <c r="AA227" s="32"/>
      <c r="AB227" s="32"/>
      <c r="AC227" s="32"/>
      <c r="AD227" s="32"/>
      <c r="AE227" s="32"/>
      <c r="AF227" s="94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</row>
    <row r="228" spans="27:45">
      <c r="AA228" s="32"/>
      <c r="AB228" s="32"/>
      <c r="AC228" s="32"/>
      <c r="AD228" s="32"/>
      <c r="AE228" s="32"/>
      <c r="AF228" s="94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</row>
    <row r="229" spans="27:45">
      <c r="AA229" s="32"/>
      <c r="AB229" s="32"/>
      <c r="AC229" s="32"/>
      <c r="AD229" s="32"/>
      <c r="AE229" s="32"/>
      <c r="AF229" s="94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</row>
    <row r="230" spans="27:45">
      <c r="AA230" s="32"/>
      <c r="AB230" s="32"/>
      <c r="AC230" s="32"/>
      <c r="AD230" s="32"/>
      <c r="AE230" s="32"/>
      <c r="AF230" s="94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</row>
    <row r="231" spans="27:45">
      <c r="AA231" s="32"/>
      <c r="AB231" s="32"/>
      <c r="AC231" s="32"/>
      <c r="AD231" s="32"/>
      <c r="AE231" s="32"/>
      <c r="AF231" s="94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</row>
    <row r="232" spans="27:45">
      <c r="AA232" s="32"/>
      <c r="AB232" s="32"/>
      <c r="AC232" s="32"/>
      <c r="AD232" s="32"/>
      <c r="AE232" s="32"/>
      <c r="AF232" s="94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</row>
    <row r="233" spans="27:45">
      <c r="AA233" s="32"/>
      <c r="AB233" s="32"/>
      <c r="AC233" s="32"/>
      <c r="AD233" s="32"/>
      <c r="AE233" s="32"/>
      <c r="AF233" s="94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</row>
    <row r="234" spans="27:45">
      <c r="AA234" s="32"/>
      <c r="AB234" s="32"/>
      <c r="AC234" s="32"/>
      <c r="AD234" s="32"/>
      <c r="AE234" s="32"/>
      <c r="AF234" s="94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</row>
    <row r="235" spans="27:45">
      <c r="AA235" s="32"/>
      <c r="AB235" s="32"/>
      <c r="AC235" s="32"/>
      <c r="AD235" s="32"/>
      <c r="AE235" s="32"/>
      <c r="AF235" s="94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</row>
    <row r="236" spans="27:45">
      <c r="AA236" s="32"/>
      <c r="AB236" s="32"/>
      <c r="AC236" s="32"/>
      <c r="AD236" s="32"/>
      <c r="AE236" s="32"/>
      <c r="AF236" s="94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</row>
    <row r="237" spans="27:45">
      <c r="AA237" s="32"/>
      <c r="AB237" s="32"/>
      <c r="AC237" s="32"/>
      <c r="AD237" s="32"/>
      <c r="AE237" s="32"/>
      <c r="AF237" s="94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</row>
    <row r="238" spans="27:45">
      <c r="AA238" s="32"/>
      <c r="AB238" s="32"/>
      <c r="AC238" s="32"/>
      <c r="AD238" s="32"/>
      <c r="AE238" s="32"/>
      <c r="AF238" s="94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</row>
    <row r="239" spans="27:45">
      <c r="AA239" s="32"/>
      <c r="AB239" s="32"/>
      <c r="AC239" s="32"/>
      <c r="AD239" s="32"/>
      <c r="AE239" s="32"/>
      <c r="AF239" s="94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</row>
    <row r="240" spans="27:45">
      <c r="AA240" s="32"/>
      <c r="AB240" s="32"/>
      <c r="AC240" s="32"/>
      <c r="AD240" s="32"/>
      <c r="AE240" s="32"/>
      <c r="AF240" s="94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</row>
    <row r="241" spans="27:45">
      <c r="AA241" s="32"/>
      <c r="AB241" s="32"/>
      <c r="AC241" s="32"/>
      <c r="AD241" s="32"/>
      <c r="AE241" s="32"/>
      <c r="AF241" s="94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</row>
    <row r="242" spans="27:45">
      <c r="AA242" s="32"/>
      <c r="AB242" s="32"/>
      <c r="AC242" s="32"/>
      <c r="AD242" s="32"/>
      <c r="AE242" s="32"/>
      <c r="AF242" s="94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</row>
    <row r="243" spans="27:45">
      <c r="AA243" s="32"/>
      <c r="AB243" s="32"/>
      <c r="AC243" s="32"/>
      <c r="AD243" s="32"/>
      <c r="AE243" s="32"/>
      <c r="AF243" s="94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</row>
    <row r="244" spans="27:45">
      <c r="AA244" s="32"/>
      <c r="AB244" s="32"/>
      <c r="AC244" s="32"/>
      <c r="AD244" s="32"/>
      <c r="AE244" s="32"/>
      <c r="AF244" s="94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</row>
    <row r="245" spans="27:45">
      <c r="AA245" s="32"/>
      <c r="AB245" s="32"/>
      <c r="AC245" s="32"/>
      <c r="AD245" s="32"/>
      <c r="AE245" s="32"/>
      <c r="AF245" s="94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</row>
    <row r="246" spans="27:45">
      <c r="AA246" s="32"/>
      <c r="AB246" s="32"/>
      <c r="AC246" s="32"/>
      <c r="AD246" s="32"/>
      <c r="AE246" s="32"/>
      <c r="AF246" s="94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</row>
    <row r="247" spans="27:45">
      <c r="AA247" s="32"/>
      <c r="AB247" s="32"/>
      <c r="AC247" s="32"/>
      <c r="AD247" s="32"/>
      <c r="AE247" s="32"/>
      <c r="AF247" s="94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</row>
    <row r="248" spans="27:45">
      <c r="AA248" s="32"/>
      <c r="AB248" s="32"/>
      <c r="AC248" s="32"/>
      <c r="AD248" s="32"/>
      <c r="AE248" s="32"/>
      <c r="AF248" s="94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</row>
    <row r="249" spans="27:45">
      <c r="AA249" s="32"/>
      <c r="AB249" s="32"/>
      <c r="AC249" s="32"/>
      <c r="AD249" s="32"/>
      <c r="AE249" s="32"/>
      <c r="AF249" s="94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</row>
    <row r="250" spans="27:45">
      <c r="AA250" s="32"/>
      <c r="AB250" s="32"/>
      <c r="AC250" s="32"/>
      <c r="AD250" s="32"/>
      <c r="AE250" s="32"/>
      <c r="AF250" s="94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</row>
    <row r="251" spans="27:45">
      <c r="AA251" s="32"/>
      <c r="AB251" s="32"/>
      <c r="AC251" s="32"/>
      <c r="AD251" s="32"/>
      <c r="AE251" s="32"/>
      <c r="AF251" s="94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</row>
    <row r="252" spans="27:45">
      <c r="AA252" s="32"/>
      <c r="AB252" s="32"/>
      <c r="AC252" s="32"/>
      <c r="AD252" s="32"/>
      <c r="AE252" s="32"/>
      <c r="AF252" s="94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</row>
    <row r="253" spans="27:45">
      <c r="AA253" s="32"/>
      <c r="AB253" s="32"/>
      <c r="AC253" s="32"/>
      <c r="AD253" s="32"/>
      <c r="AE253" s="32"/>
      <c r="AF253" s="94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</row>
    <row r="254" spans="27:45">
      <c r="AA254" s="32"/>
      <c r="AB254" s="32"/>
      <c r="AC254" s="32"/>
      <c r="AD254" s="32"/>
      <c r="AE254" s="32"/>
      <c r="AF254" s="94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</row>
    <row r="255" spans="27:45">
      <c r="AA255" s="32"/>
      <c r="AB255" s="32"/>
      <c r="AC255" s="32"/>
      <c r="AD255" s="32"/>
      <c r="AE255" s="32"/>
      <c r="AF255" s="94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</row>
    <row r="256" spans="27:45">
      <c r="AA256" s="32"/>
      <c r="AB256" s="32"/>
      <c r="AC256" s="32"/>
      <c r="AD256" s="32"/>
      <c r="AE256" s="32"/>
      <c r="AF256" s="94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</row>
    <row r="257" spans="27:45">
      <c r="AA257" s="32"/>
      <c r="AB257" s="32"/>
      <c r="AC257" s="32"/>
      <c r="AD257" s="32"/>
      <c r="AE257" s="32"/>
      <c r="AF257" s="94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</row>
    <row r="258" spans="27:45">
      <c r="AA258" s="32"/>
      <c r="AB258" s="32"/>
      <c r="AC258" s="32"/>
      <c r="AD258" s="32"/>
      <c r="AE258" s="32"/>
      <c r="AF258" s="94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</row>
    <row r="259" spans="27:45">
      <c r="AA259" s="32"/>
      <c r="AB259" s="32"/>
      <c r="AC259" s="32"/>
      <c r="AD259" s="32"/>
      <c r="AE259" s="32"/>
      <c r="AF259" s="94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</row>
    <row r="260" spans="27:45">
      <c r="AA260" s="32"/>
      <c r="AB260" s="32"/>
      <c r="AC260" s="32"/>
      <c r="AD260" s="32"/>
      <c r="AE260" s="32"/>
      <c r="AF260" s="94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</row>
    <row r="261" spans="27:45">
      <c r="AA261" s="32"/>
      <c r="AB261" s="32"/>
      <c r="AC261" s="32"/>
      <c r="AD261" s="32"/>
      <c r="AE261" s="32"/>
      <c r="AF261" s="94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</row>
    <row r="262" spans="27:45">
      <c r="AA262" s="32"/>
      <c r="AB262" s="32"/>
      <c r="AC262" s="32"/>
      <c r="AD262" s="32"/>
      <c r="AE262" s="32"/>
      <c r="AF262" s="94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</row>
    <row r="263" spans="27:45">
      <c r="AA263" s="32"/>
      <c r="AB263" s="32"/>
      <c r="AC263" s="32"/>
      <c r="AD263" s="32"/>
      <c r="AE263" s="32"/>
      <c r="AF263" s="94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</row>
    <row r="264" spans="27:45">
      <c r="AA264" s="32"/>
      <c r="AB264" s="32"/>
      <c r="AC264" s="32"/>
      <c r="AD264" s="32"/>
      <c r="AE264" s="32"/>
      <c r="AF264" s="94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</row>
    <row r="265" spans="27:45">
      <c r="AA265" s="32"/>
      <c r="AB265" s="32"/>
      <c r="AC265" s="32"/>
      <c r="AD265" s="32"/>
      <c r="AE265" s="32"/>
      <c r="AF265" s="94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</row>
    <row r="266" spans="27:45">
      <c r="AA266" s="32"/>
      <c r="AB266" s="32"/>
      <c r="AC266" s="32"/>
      <c r="AD266" s="32"/>
      <c r="AE266" s="32"/>
      <c r="AF266" s="94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</row>
    <row r="267" spans="27:45">
      <c r="AA267" s="32"/>
      <c r="AB267" s="32"/>
      <c r="AC267" s="32"/>
      <c r="AD267" s="32"/>
      <c r="AE267" s="32"/>
      <c r="AF267" s="94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</row>
    <row r="268" spans="27:45">
      <c r="AA268" s="32"/>
      <c r="AB268" s="32"/>
      <c r="AC268" s="32"/>
      <c r="AD268" s="32"/>
      <c r="AE268" s="32"/>
      <c r="AF268" s="94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</row>
    <row r="269" spans="27:45">
      <c r="AA269" s="32"/>
      <c r="AB269" s="32"/>
      <c r="AC269" s="32"/>
      <c r="AD269" s="32"/>
      <c r="AE269" s="32"/>
      <c r="AF269" s="94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</row>
    <row r="270" spans="27:45">
      <c r="AA270" s="32"/>
      <c r="AB270" s="32"/>
      <c r="AC270" s="32"/>
      <c r="AD270" s="32"/>
      <c r="AE270" s="32"/>
      <c r="AF270" s="94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</row>
    <row r="271" spans="27:45">
      <c r="AA271" s="32"/>
      <c r="AB271" s="32"/>
      <c r="AC271" s="32"/>
      <c r="AD271" s="32"/>
      <c r="AE271" s="32"/>
      <c r="AF271" s="94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</row>
    <row r="272" spans="27:45">
      <c r="AA272" s="32"/>
      <c r="AB272" s="32"/>
      <c r="AC272" s="32"/>
      <c r="AD272" s="32"/>
      <c r="AE272" s="32"/>
      <c r="AF272" s="94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</row>
    <row r="273" spans="27:45">
      <c r="AA273" s="32"/>
      <c r="AB273" s="32"/>
      <c r="AC273" s="32"/>
      <c r="AD273" s="32"/>
      <c r="AE273" s="32"/>
      <c r="AF273" s="94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</row>
    <row r="274" spans="27:45">
      <c r="AA274" s="32"/>
      <c r="AB274" s="32"/>
      <c r="AC274" s="32"/>
      <c r="AD274" s="32"/>
      <c r="AE274" s="32"/>
      <c r="AF274" s="94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</row>
    <row r="275" spans="27:45">
      <c r="AA275" s="32"/>
      <c r="AB275" s="32"/>
      <c r="AC275" s="32"/>
      <c r="AD275" s="32"/>
      <c r="AE275" s="32"/>
      <c r="AF275" s="94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</row>
    <row r="276" spans="27:45">
      <c r="AA276" s="32"/>
      <c r="AB276" s="32"/>
      <c r="AC276" s="32"/>
      <c r="AD276" s="32"/>
      <c r="AE276" s="32"/>
      <c r="AF276" s="94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</row>
    <row r="277" spans="27:45">
      <c r="AA277" s="32"/>
      <c r="AB277" s="32"/>
      <c r="AC277" s="32"/>
      <c r="AD277" s="32"/>
      <c r="AE277" s="32"/>
      <c r="AF277" s="94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</row>
    <row r="278" spans="27:45">
      <c r="AA278" s="32"/>
      <c r="AB278" s="32"/>
      <c r="AC278" s="32"/>
      <c r="AD278" s="32"/>
      <c r="AE278" s="32"/>
      <c r="AF278" s="94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</row>
    <row r="279" spans="27:45">
      <c r="AA279" s="32"/>
      <c r="AB279" s="32"/>
      <c r="AC279" s="32"/>
      <c r="AD279" s="32"/>
      <c r="AE279" s="32"/>
      <c r="AF279" s="94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</row>
    <row r="280" spans="27:45">
      <c r="AA280" s="32"/>
      <c r="AB280" s="32"/>
      <c r="AC280" s="32"/>
      <c r="AD280" s="32"/>
      <c r="AE280" s="32"/>
      <c r="AF280" s="94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</row>
    <row r="281" spans="27:45">
      <c r="AA281" s="32"/>
      <c r="AB281" s="32"/>
      <c r="AC281" s="32"/>
      <c r="AD281" s="32"/>
      <c r="AE281" s="32"/>
      <c r="AF281" s="94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</row>
    <row r="282" spans="27:45">
      <c r="AA282" s="32"/>
      <c r="AB282" s="32"/>
      <c r="AC282" s="32"/>
      <c r="AD282" s="32"/>
      <c r="AE282" s="32"/>
      <c r="AF282" s="94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</row>
    <row r="283" spans="27:45">
      <c r="AA283" s="32"/>
      <c r="AB283" s="32"/>
      <c r="AC283" s="32"/>
      <c r="AD283" s="32"/>
      <c r="AE283" s="32"/>
      <c r="AF283" s="94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</row>
    <row r="284" spans="27:45">
      <c r="AA284" s="32"/>
      <c r="AB284" s="32"/>
      <c r="AC284" s="32"/>
      <c r="AD284" s="32"/>
      <c r="AE284" s="32"/>
      <c r="AF284" s="94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</row>
  </sheetData>
  <autoFilter ref="T11:Z53"/>
  <sortState ref="U59:BH74">
    <sortCondition ref="V59:V74"/>
  </sortState>
  <mergeCells count="26">
    <mergeCell ref="AJ6:AJ7"/>
    <mergeCell ref="AK6:AK7"/>
    <mergeCell ref="AL6:AL7"/>
    <mergeCell ref="AA6:AA7"/>
    <mergeCell ref="AB6:AB7"/>
    <mergeCell ref="AE6:AE7"/>
    <mergeCell ref="AG6:AG7"/>
    <mergeCell ref="AH6:AH7"/>
    <mergeCell ref="AC6:AC7"/>
    <mergeCell ref="AD6:AD7"/>
    <mergeCell ref="U69:V69"/>
    <mergeCell ref="AI6:AI7"/>
    <mergeCell ref="AT6:AT7"/>
    <mergeCell ref="H7:N7"/>
    <mergeCell ref="P7:R7"/>
    <mergeCell ref="AN6:AN7"/>
    <mergeCell ref="AO6:AO7"/>
    <mergeCell ref="AP6:AP7"/>
    <mergeCell ref="AQ6:AQ7"/>
    <mergeCell ref="AR6:AS6"/>
    <mergeCell ref="H6:R6"/>
    <mergeCell ref="U6:U7"/>
    <mergeCell ref="V6:V7"/>
    <mergeCell ref="W6:W7"/>
    <mergeCell ref="Y6:Y7"/>
    <mergeCell ref="AM6:AM7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9"/>
  <sheetViews>
    <sheetView workbookViewId="0">
      <pane xSplit="4" ySplit="11" topLeftCell="I42" activePane="bottomRight" state="frozen"/>
      <selection pane="topRight" activeCell="C1" sqref="C1"/>
      <selection pane="bottomLeft" activeCell="A12" sqref="A12"/>
      <selection pane="bottomRight" activeCell="L81" sqref="L81"/>
    </sheetView>
  </sheetViews>
  <sheetFormatPr baseColWidth="10" defaultRowHeight="11.25"/>
  <cols>
    <col min="1" max="1" width="1.5703125" style="178" hidden="1" customWidth="1"/>
    <col min="2" max="2" width="2.28515625" style="178" hidden="1" customWidth="1"/>
    <col min="3" max="3" width="6.7109375" style="2" customWidth="1"/>
    <col min="4" max="4" width="50.5703125" style="1" bestFit="1" customWidth="1"/>
    <col min="5" max="5" width="9.85546875" style="1" customWidth="1"/>
    <col min="6" max="6" width="8.5703125" style="1" customWidth="1"/>
    <col min="7" max="7" width="12.42578125" style="178" customWidth="1"/>
    <col min="8" max="8" width="15.7109375" style="1" customWidth="1"/>
    <col min="9" max="9" width="10.85546875" style="1" customWidth="1"/>
    <col min="10" max="10" width="12" style="1" customWidth="1"/>
    <col min="11" max="11" width="10.85546875" style="1" customWidth="1"/>
    <col min="12" max="12" width="11.7109375" style="1" customWidth="1"/>
    <col min="13" max="13" width="10.5703125" style="1" customWidth="1"/>
    <col min="14" max="14" width="9.140625" style="1" customWidth="1"/>
    <col min="15" max="15" width="9.140625" style="233" customWidth="1"/>
    <col min="16" max="16" width="10.5703125" style="1" customWidth="1"/>
    <col min="17" max="18" width="15.7109375" style="1" customWidth="1"/>
    <col min="19" max="16384" width="11.42578125" style="1"/>
  </cols>
  <sheetData>
    <row r="1" spans="1:18" ht="8.25" customHeight="1">
      <c r="A1" s="186" t="s">
        <v>139</v>
      </c>
      <c r="C1" s="3" t="s">
        <v>0</v>
      </c>
      <c r="D1" s="264" t="s">
        <v>139</v>
      </c>
      <c r="E1" s="265"/>
      <c r="I1" s="1">
        <v>7000</v>
      </c>
    </row>
    <row r="2" spans="1:18" ht="9.75" customHeight="1">
      <c r="A2" s="229" t="s">
        <v>2</v>
      </c>
      <c r="C2" s="4" t="s">
        <v>1</v>
      </c>
      <c r="D2" s="196" t="s">
        <v>2</v>
      </c>
      <c r="E2" s="194"/>
      <c r="I2" s="232">
        <f>+I1/30</f>
        <v>233.33333333333334</v>
      </c>
    </row>
    <row r="3" spans="1:18" ht="8.25" customHeight="1">
      <c r="A3" s="228" t="s">
        <v>3</v>
      </c>
      <c r="D3" s="197" t="s">
        <v>3</v>
      </c>
      <c r="E3" s="185"/>
      <c r="F3" s="7"/>
      <c r="G3" s="180"/>
      <c r="I3" s="1">
        <v>2000</v>
      </c>
    </row>
    <row r="4" spans="1:18" ht="14.25" customHeight="1">
      <c r="A4" s="227" t="s">
        <v>321</v>
      </c>
      <c r="D4" s="198" t="s">
        <v>4</v>
      </c>
      <c r="E4" s="185"/>
      <c r="F4" s="7">
        <v>2000</v>
      </c>
      <c r="G4" s="180"/>
      <c r="I4" s="1">
        <f>+I3/15</f>
        <v>133.33333333333334</v>
      </c>
    </row>
    <row r="5" spans="1:18" ht="8.25" customHeight="1">
      <c r="A5" s="187" t="s">
        <v>5</v>
      </c>
      <c r="D5" s="187" t="s">
        <v>5</v>
      </c>
      <c r="E5" s="187"/>
      <c r="F5" s="1">
        <f>+F4/15</f>
        <v>133.33333333333334</v>
      </c>
    </row>
    <row r="6" spans="1:18" ht="8.25" customHeight="1">
      <c r="A6" s="187" t="s">
        <v>6</v>
      </c>
      <c r="D6" s="6" t="s">
        <v>6</v>
      </c>
    </row>
    <row r="7" spans="1:18" ht="8.25" customHeight="1"/>
    <row r="8" spans="1:18" s="174" customFormat="1" ht="21.75" customHeight="1" thickBot="1">
      <c r="A8" s="9" t="s">
        <v>8</v>
      </c>
      <c r="C8" s="184" t="s">
        <v>7</v>
      </c>
      <c r="D8" s="191" t="s">
        <v>8</v>
      </c>
      <c r="E8" s="191" t="s">
        <v>9</v>
      </c>
      <c r="F8" s="191" t="s">
        <v>10</v>
      </c>
      <c r="G8" s="191" t="s">
        <v>312</v>
      </c>
      <c r="H8" s="192" t="s">
        <v>11</v>
      </c>
      <c r="I8" s="191" t="s">
        <v>12</v>
      </c>
      <c r="J8" s="191" t="s">
        <v>13</v>
      </c>
      <c r="K8" s="191" t="s">
        <v>14</v>
      </c>
      <c r="L8" s="191" t="s">
        <v>15</v>
      </c>
      <c r="M8" s="191" t="s">
        <v>16</v>
      </c>
      <c r="N8" s="191" t="s">
        <v>17</v>
      </c>
      <c r="O8" s="191" t="s">
        <v>328</v>
      </c>
      <c r="P8" s="191" t="s">
        <v>18</v>
      </c>
      <c r="Q8" s="192" t="s">
        <v>19</v>
      </c>
      <c r="R8" s="193" t="s">
        <v>20</v>
      </c>
    </row>
    <row r="9" spans="1:18" ht="8.25" customHeight="1" thickTop="1">
      <c r="C9" s="11" t="s">
        <v>21</v>
      </c>
    </row>
    <row r="10" spans="1:18" ht="8.25" customHeight="1"/>
    <row r="11" spans="1:18" ht="8.25" customHeight="1">
      <c r="C11" s="10" t="s">
        <v>22</v>
      </c>
    </row>
    <row r="12" spans="1:18">
      <c r="A12" s="178" t="s">
        <v>24</v>
      </c>
      <c r="B12" s="178" t="str">
        <f>IF(A12=D12,"SI","NO")</f>
        <v>SI</v>
      </c>
      <c r="C12" s="2" t="s">
        <v>23</v>
      </c>
      <c r="D12" s="1" t="s">
        <v>24</v>
      </c>
      <c r="E12" s="12">
        <v>2750.1</v>
      </c>
      <c r="F12" s="12">
        <v>0</v>
      </c>
      <c r="G12" s="188">
        <v>0</v>
      </c>
      <c r="H12" s="12">
        <f>SUM(E12:G12)</f>
        <v>2750.1</v>
      </c>
      <c r="I12" s="12">
        <v>0</v>
      </c>
      <c r="J12" s="234">
        <v>49.79</v>
      </c>
      <c r="K12" s="234">
        <v>68.28</v>
      </c>
      <c r="L12" s="12">
        <v>2400</v>
      </c>
      <c r="M12" s="234">
        <v>0.03</v>
      </c>
      <c r="N12" s="12">
        <f>+FACTURACION!AE12</f>
        <v>0</v>
      </c>
      <c r="O12" s="236">
        <v>45.13</v>
      </c>
      <c r="P12" s="12">
        <f>+FACTURACION!AJ12</f>
        <v>0</v>
      </c>
      <c r="Q12" s="12">
        <f>SUM(I12:P12)</f>
        <v>2563.2300000000005</v>
      </c>
      <c r="R12" s="12">
        <f>+H12-Q12</f>
        <v>186.86999999999944</v>
      </c>
    </row>
    <row r="13" spans="1:18">
      <c r="A13" s="178" t="s">
        <v>26</v>
      </c>
      <c r="B13" s="178" t="str">
        <f t="shared" ref="B13:B53" si="0">IF(A13=D13,"SI","NO")</f>
        <v>SI</v>
      </c>
      <c r="C13" s="2" t="s">
        <v>25</v>
      </c>
      <c r="D13" s="1" t="s">
        <v>26</v>
      </c>
      <c r="E13" s="12">
        <v>0</v>
      </c>
      <c r="F13" s="12">
        <v>0</v>
      </c>
      <c r="G13" s="188">
        <v>0</v>
      </c>
      <c r="H13" s="188">
        <f t="shared" ref="H13:H53" si="1">SUM(E13:G13)</f>
        <v>0</v>
      </c>
      <c r="I13" s="12">
        <v>0</v>
      </c>
      <c r="J13" s="12">
        <v>0</v>
      </c>
      <c r="K13" s="12">
        <v>0</v>
      </c>
      <c r="L13" s="188">
        <f>+FACTURACION!AK13</f>
        <v>0</v>
      </c>
      <c r="M13" s="234">
        <v>0</v>
      </c>
      <c r="N13" s="188">
        <f>+FACTURACION!AE13</f>
        <v>0</v>
      </c>
      <c r="O13" s="236"/>
      <c r="P13" s="188">
        <f>+FACTURACION!AJ13</f>
        <v>0</v>
      </c>
      <c r="Q13" s="188">
        <f>SUM(I13:P13)</f>
        <v>0</v>
      </c>
      <c r="R13" s="188">
        <f t="shared" ref="R13:R53" si="2">+H13-Q13</f>
        <v>0</v>
      </c>
    </row>
    <row r="14" spans="1:18">
      <c r="A14" s="178" t="s">
        <v>28</v>
      </c>
      <c r="B14" s="178" t="str">
        <f t="shared" si="0"/>
        <v>SI</v>
      </c>
      <c r="C14" s="2" t="s">
        <v>27</v>
      </c>
      <c r="D14" s="1" t="s">
        <v>28</v>
      </c>
      <c r="E14" s="234">
        <v>2500.0500000000002</v>
      </c>
      <c r="F14" s="12">
        <v>0</v>
      </c>
      <c r="G14" s="188">
        <v>0</v>
      </c>
      <c r="H14" s="188">
        <f t="shared" si="1"/>
        <v>2500.0500000000002</v>
      </c>
      <c r="I14" s="12">
        <v>0</v>
      </c>
      <c r="J14" s="234">
        <v>7.67</v>
      </c>
      <c r="K14" s="234">
        <v>62.06</v>
      </c>
      <c r="L14" s="188">
        <f>+FACTURACION!AK14</f>
        <v>0</v>
      </c>
      <c r="M14" s="235">
        <v>-0.08</v>
      </c>
      <c r="N14" s="188">
        <f>+FACTURACION!AE14</f>
        <v>0</v>
      </c>
      <c r="O14" s="236">
        <v>45.13</v>
      </c>
      <c r="P14" s="188">
        <f>+FACTURACION!AJ14</f>
        <v>0</v>
      </c>
      <c r="Q14" s="188">
        <f t="shared" ref="Q14:Q52" si="3">SUM(I14:P14)</f>
        <v>114.78</v>
      </c>
      <c r="R14" s="188">
        <f t="shared" si="2"/>
        <v>2385.27</v>
      </c>
    </row>
    <row r="15" spans="1:18">
      <c r="A15" s="178" t="s">
        <v>30</v>
      </c>
      <c r="B15" s="178" t="str">
        <f t="shared" si="0"/>
        <v>SI</v>
      </c>
      <c r="C15" s="2" t="s">
        <v>29</v>
      </c>
      <c r="D15" s="1" t="s">
        <v>30</v>
      </c>
      <c r="E15" s="234">
        <v>3000</v>
      </c>
      <c r="F15" s="12">
        <v>0</v>
      </c>
      <c r="G15" s="188">
        <v>0</v>
      </c>
      <c r="H15" s="188">
        <f t="shared" si="1"/>
        <v>3000</v>
      </c>
      <c r="I15" s="12">
        <v>0</v>
      </c>
      <c r="J15" s="234">
        <v>76.98</v>
      </c>
      <c r="K15" s="234">
        <v>74.56</v>
      </c>
      <c r="L15" s="188">
        <f>+FACTURACION!AK15</f>
        <v>900</v>
      </c>
      <c r="M15" s="234">
        <v>0.06</v>
      </c>
      <c r="N15" s="188">
        <f>+FACTURACION!AE15</f>
        <v>0</v>
      </c>
      <c r="O15" s="236">
        <v>45.13</v>
      </c>
      <c r="P15" s="188">
        <f>+FACTURACION!AJ15</f>
        <v>0</v>
      </c>
      <c r="Q15" s="188">
        <f t="shared" si="3"/>
        <v>1096.73</v>
      </c>
      <c r="R15" s="188">
        <f t="shared" si="2"/>
        <v>1903.27</v>
      </c>
    </row>
    <row r="16" spans="1:18">
      <c r="A16" s="178" t="s">
        <v>32</v>
      </c>
      <c r="B16" s="178" t="str">
        <f t="shared" si="0"/>
        <v>SI</v>
      </c>
      <c r="C16" s="2" t="s">
        <v>31</v>
      </c>
      <c r="D16" s="1" t="s">
        <v>32</v>
      </c>
      <c r="E16" s="234">
        <v>2500.0500000000002</v>
      </c>
      <c r="F16" s="12">
        <v>0</v>
      </c>
      <c r="G16" s="188">
        <v>0</v>
      </c>
      <c r="H16" s="188">
        <f t="shared" si="1"/>
        <v>2500.0500000000002</v>
      </c>
      <c r="I16" s="12">
        <v>0</v>
      </c>
      <c r="J16" s="234">
        <v>7.67</v>
      </c>
      <c r="K16" s="234">
        <v>62.06</v>
      </c>
      <c r="L16" s="188">
        <f>+FACTURACION!AK16</f>
        <v>0</v>
      </c>
      <c r="M16" s="235">
        <v>-0.08</v>
      </c>
      <c r="N16" s="188">
        <f>+FACTURACION!AE16</f>
        <v>0</v>
      </c>
      <c r="O16" s="236">
        <v>45.13</v>
      </c>
      <c r="P16" s="188">
        <f>+FACTURACION!AJ16</f>
        <v>0</v>
      </c>
      <c r="Q16" s="188">
        <f t="shared" si="3"/>
        <v>114.78</v>
      </c>
      <c r="R16" s="188">
        <f t="shared" si="2"/>
        <v>2385.27</v>
      </c>
    </row>
    <row r="17" spans="1:18">
      <c r="A17" s="178" t="s">
        <v>34</v>
      </c>
      <c r="B17" s="178" t="str">
        <f t="shared" si="0"/>
        <v>SI</v>
      </c>
      <c r="C17" s="2" t="s">
        <v>33</v>
      </c>
      <c r="D17" s="1" t="s">
        <v>34</v>
      </c>
      <c r="E17" s="234">
        <v>6500.1</v>
      </c>
      <c r="F17" s="12">
        <v>0</v>
      </c>
      <c r="G17" s="188">
        <v>0</v>
      </c>
      <c r="H17" s="188">
        <f t="shared" si="1"/>
        <v>6500.1</v>
      </c>
      <c r="I17" s="12">
        <v>0</v>
      </c>
      <c r="J17" s="234">
        <v>841.16</v>
      </c>
      <c r="K17" s="234">
        <v>175.38</v>
      </c>
      <c r="L17" s="188">
        <f>+FACTURACION!AK17</f>
        <v>0</v>
      </c>
      <c r="M17" s="235">
        <v>-0.04</v>
      </c>
      <c r="N17" s="188">
        <f>+FACTURACION!AE17</f>
        <v>0</v>
      </c>
      <c r="O17" s="236">
        <v>45.13</v>
      </c>
      <c r="P17" s="188">
        <f>+FACTURACION!AJ17</f>
        <v>0</v>
      </c>
      <c r="Q17" s="188">
        <f t="shared" si="3"/>
        <v>1061.6300000000001</v>
      </c>
      <c r="R17" s="188">
        <f t="shared" si="2"/>
        <v>5438.47</v>
      </c>
    </row>
    <row r="18" spans="1:18">
      <c r="A18" s="178" t="s">
        <v>36</v>
      </c>
      <c r="B18" s="178" t="str">
        <f t="shared" si="0"/>
        <v>SI</v>
      </c>
      <c r="C18" s="2" t="s">
        <v>35</v>
      </c>
      <c r="D18" s="1" t="s">
        <v>36</v>
      </c>
      <c r="E18" s="234">
        <v>2800.05</v>
      </c>
      <c r="F18" s="12">
        <v>0</v>
      </c>
      <c r="G18" s="188">
        <v>0</v>
      </c>
      <c r="H18" s="188">
        <f t="shared" si="1"/>
        <v>2800.05</v>
      </c>
      <c r="I18" s="12">
        <v>0</v>
      </c>
      <c r="J18" s="234">
        <v>55.23</v>
      </c>
      <c r="K18" s="234">
        <v>69.69</v>
      </c>
      <c r="L18" s="188">
        <f>+FACTURACION!AK18</f>
        <v>0</v>
      </c>
      <c r="M18" s="235">
        <v>-7.0000000000000007E-2</v>
      </c>
      <c r="N18" s="188">
        <f>+FACTURACION!AE18</f>
        <v>0</v>
      </c>
      <c r="O18" s="236">
        <v>45.13</v>
      </c>
      <c r="P18" s="188">
        <f>+FACTURACION!AJ18</f>
        <v>0</v>
      </c>
      <c r="Q18" s="188">
        <f t="shared" si="3"/>
        <v>169.98</v>
      </c>
      <c r="R18" s="188">
        <f t="shared" si="2"/>
        <v>2630.07</v>
      </c>
    </row>
    <row r="19" spans="1:18">
      <c r="A19" s="178" t="s">
        <v>38</v>
      </c>
      <c r="B19" s="178" t="str">
        <f t="shared" si="0"/>
        <v>SI</v>
      </c>
      <c r="C19" s="2" t="s">
        <v>37</v>
      </c>
      <c r="D19" s="1" t="s">
        <v>38</v>
      </c>
      <c r="E19" s="234">
        <v>5868.75</v>
      </c>
      <c r="F19" s="12">
        <v>0</v>
      </c>
      <c r="G19" s="188">
        <v>0</v>
      </c>
      <c r="H19" s="188">
        <f t="shared" si="1"/>
        <v>5868.75</v>
      </c>
      <c r="I19" s="12">
        <v>0</v>
      </c>
      <c r="J19" s="234">
        <v>706.3</v>
      </c>
      <c r="K19" s="234">
        <v>157.08000000000001</v>
      </c>
      <c r="L19" s="188">
        <f>+FACTURACION!AK19</f>
        <v>0</v>
      </c>
      <c r="M19" s="234">
        <v>0.17</v>
      </c>
      <c r="N19" s="188">
        <f>+FACTURACION!AE19</f>
        <v>0</v>
      </c>
      <c r="O19" s="236">
        <v>45.13</v>
      </c>
      <c r="P19" s="188">
        <f>+FACTURACION!AJ19</f>
        <v>0</v>
      </c>
      <c r="Q19" s="188">
        <f t="shared" si="3"/>
        <v>908.68</v>
      </c>
      <c r="R19" s="188">
        <f t="shared" si="2"/>
        <v>4960.07</v>
      </c>
    </row>
    <row r="20" spans="1:18">
      <c r="A20" s="178" t="s">
        <v>40</v>
      </c>
      <c r="B20" s="178" t="str">
        <f t="shared" si="0"/>
        <v>SI</v>
      </c>
      <c r="C20" s="2" t="s">
        <v>39</v>
      </c>
      <c r="D20" s="1" t="s">
        <v>40</v>
      </c>
      <c r="E20" s="234">
        <v>2800.05</v>
      </c>
      <c r="F20" s="12">
        <v>0</v>
      </c>
      <c r="G20" s="188">
        <v>0</v>
      </c>
      <c r="H20" s="188">
        <f t="shared" si="1"/>
        <v>2800.05</v>
      </c>
      <c r="I20" s="12">
        <v>0</v>
      </c>
      <c r="J20" s="234">
        <v>55.23</v>
      </c>
      <c r="K20" s="234">
        <v>69.78</v>
      </c>
      <c r="L20" s="188">
        <f>+FACTURACION!AK20</f>
        <v>0</v>
      </c>
      <c r="M20" s="235">
        <v>-0.16</v>
      </c>
      <c r="N20" s="188">
        <f>+FACTURACION!AE20</f>
        <v>0</v>
      </c>
      <c r="O20" s="236">
        <v>45.13</v>
      </c>
      <c r="P20" s="188">
        <f>+FACTURACION!AJ20</f>
        <v>0</v>
      </c>
      <c r="Q20" s="188">
        <f t="shared" si="3"/>
        <v>169.98</v>
      </c>
      <c r="R20" s="188">
        <f t="shared" si="2"/>
        <v>2630.07</v>
      </c>
    </row>
    <row r="21" spans="1:18">
      <c r="A21" s="178" t="s">
        <v>42</v>
      </c>
      <c r="B21" s="178" t="str">
        <f t="shared" si="0"/>
        <v>SI</v>
      </c>
      <c r="C21" s="2" t="s">
        <v>41</v>
      </c>
      <c r="D21" s="1" t="s">
        <v>42</v>
      </c>
      <c r="E21" s="234">
        <v>10000.049999999999</v>
      </c>
      <c r="F21" s="12">
        <v>0</v>
      </c>
      <c r="G21" s="188">
        <v>0</v>
      </c>
      <c r="H21" s="188">
        <f t="shared" si="1"/>
        <v>10000.049999999999</v>
      </c>
      <c r="I21" s="12">
        <v>0</v>
      </c>
      <c r="J21" s="234">
        <v>1588.75</v>
      </c>
      <c r="K21" s="234">
        <v>276.91000000000003</v>
      </c>
      <c r="L21" s="188">
        <v>7000</v>
      </c>
      <c r="M21" s="235">
        <v>-0.01</v>
      </c>
      <c r="N21" s="188">
        <f>+FACTURACION!AE21</f>
        <v>0</v>
      </c>
      <c r="O21" s="236">
        <v>45.13</v>
      </c>
      <c r="P21" s="188">
        <f>+FACTURACION!AJ21</f>
        <v>0</v>
      </c>
      <c r="Q21" s="188">
        <f t="shared" si="3"/>
        <v>8910.7799999999988</v>
      </c>
      <c r="R21" s="188">
        <f t="shared" si="2"/>
        <v>1089.2700000000004</v>
      </c>
    </row>
    <row r="22" spans="1:18">
      <c r="A22" s="178" t="s">
        <v>44</v>
      </c>
      <c r="B22" s="178" t="str">
        <f t="shared" si="0"/>
        <v>SI</v>
      </c>
      <c r="C22" s="2" t="s">
        <v>43</v>
      </c>
      <c r="D22" s="1" t="s">
        <v>44</v>
      </c>
      <c r="E22" s="234">
        <v>3250.05</v>
      </c>
      <c r="F22" s="12">
        <v>0</v>
      </c>
      <c r="G22" s="231">
        <v>216.67</v>
      </c>
      <c r="H22" s="188">
        <f t="shared" si="1"/>
        <v>3466.7200000000003</v>
      </c>
      <c r="I22" s="12">
        <v>0</v>
      </c>
      <c r="J22" s="234">
        <v>148.04</v>
      </c>
      <c r="K22" s="234">
        <v>81.12</v>
      </c>
      <c r="L22" s="188">
        <f>+FACTURACION!AK22</f>
        <v>0</v>
      </c>
      <c r="M22" s="235">
        <v>-0.04</v>
      </c>
      <c r="N22" s="188">
        <f>+FACTURACION!AE22</f>
        <v>0</v>
      </c>
      <c r="O22" s="236">
        <v>45.13</v>
      </c>
      <c r="P22" s="188">
        <f>+FACTURACION!AJ22</f>
        <v>0</v>
      </c>
      <c r="Q22" s="188">
        <f t="shared" si="3"/>
        <v>274.25</v>
      </c>
      <c r="R22" s="188">
        <f t="shared" si="2"/>
        <v>3192.4700000000003</v>
      </c>
    </row>
    <row r="23" spans="1:18">
      <c r="A23" s="178" t="s">
        <v>46</v>
      </c>
      <c r="B23" s="178" t="str">
        <f t="shared" si="0"/>
        <v>SI</v>
      </c>
      <c r="C23" s="2" t="s">
        <v>45</v>
      </c>
      <c r="D23" s="1" t="s">
        <v>46</v>
      </c>
      <c r="E23" s="234">
        <v>3250.05</v>
      </c>
      <c r="F23" s="12">
        <v>0</v>
      </c>
      <c r="G23" s="231">
        <v>115.55</v>
      </c>
      <c r="H23" s="188">
        <f t="shared" si="1"/>
        <v>3365.6000000000004</v>
      </c>
      <c r="I23" s="12">
        <v>0</v>
      </c>
      <c r="J23" s="234">
        <v>137.04</v>
      </c>
      <c r="K23" s="234">
        <v>81.12</v>
      </c>
      <c r="L23" s="188">
        <f>+FACTURACION!AK23</f>
        <v>1000</v>
      </c>
      <c r="M23" s="234">
        <v>0.04</v>
      </c>
      <c r="N23" s="188">
        <f>+FACTURACION!AE23</f>
        <v>0</v>
      </c>
      <c r="O23" s="236">
        <v>45.13</v>
      </c>
      <c r="P23" s="188">
        <f>+FACTURACION!AJ23</f>
        <v>0</v>
      </c>
      <c r="Q23" s="188">
        <f t="shared" si="3"/>
        <v>1263.3300000000002</v>
      </c>
      <c r="R23" s="188">
        <f t="shared" si="2"/>
        <v>2102.2700000000004</v>
      </c>
    </row>
    <row r="24" spans="1:18">
      <c r="A24" s="204" t="s">
        <v>48</v>
      </c>
      <c r="B24" s="178" t="str">
        <f t="shared" si="0"/>
        <v>SI</v>
      </c>
      <c r="C24" s="2" t="s">
        <v>47</v>
      </c>
      <c r="D24" s="1" t="s">
        <v>48</v>
      </c>
      <c r="E24" s="234">
        <v>15000</v>
      </c>
      <c r="F24" s="12">
        <v>0</v>
      </c>
      <c r="G24" s="188">
        <v>0</v>
      </c>
      <c r="H24" s="188">
        <f t="shared" si="1"/>
        <v>15000</v>
      </c>
      <c r="I24" s="12">
        <v>0</v>
      </c>
      <c r="J24" s="234">
        <v>2759.37</v>
      </c>
      <c r="K24" s="234">
        <v>424.77</v>
      </c>
      <c r="L24" s="188">
        <f>+FACTURACION!AK24</f>
        <v>345</v>
      </c>
      <c r="M24" s="234">
        <v>0.06</v>
      </c>
      <c r="N24" s="188">
        <f>+FACTURACION!AE24</f>
        <v>0</v>
      </c>
      <c r="O24" s="236">
        <v>45.13</v>
      </c>
      <c r="P24" s="188">
        <f>+FACTURACION!AJ24</f>
        <v>1570</v>
      </c>
      <c r="Q24" s="188">
        <f t="shared" si="3"/>
        <v>5144.33</v>
      </c>
      <c r="R24" s="188">
        <f t="shared" si="2"/>
        <v>9855.67</v>
      </c>
    </row>
    <row r="25" spans="1:18">
      <c r="A25" s="178" t="s">
        <v>52</v>
      </c>
      <c r="B25" s="178" t="str">
        <f t="shared" si="0"/>
        <v>SI</v>
      </c>
      <c r="C25" s="2" t="s">
        <v>51</v>
      </c>
      <c r="D25" s="1" t="s">
        <v>52</v>
      </c>
      <c r="E25" s="234">
        <v>2500.0500000000002</v>
      </c>
      <c r="F25" s="12">
        <v>0</v>
      </c>
      <c r="G25" s="188">
        <v>0</v>
      </c>
      <c r="H25" s="188">
        <f t="shared" si="1"/>
        <v>2500.0500000000002</v>
      </c>
      <c r="I25" s="12">
        <v>0</v>
      </c>
      <c r="J25" s="234">
        <v>7.67</v>
      </c>
      <c r="K25" s="234">
        <v>74.98</v>
      </c>
      <c r="L25" s="188">
        <f>+FACTURACION!AK25</f>
        <v>0</v>
      </c>
      <c r="M25" s="234">
        <v>0</v>
      </c>
      <c r="N25" s="188">
        <f>+FACTURACION!AE25</f>
        <v>0</v>
      </c>
      <c r="O25" s="236">
        <v>45.13</v>
      </c>
      <c r="P25" s="188">
        <f>+FACTURACION!AJ25</f>
        <v>0</v>
      </c>
      <c r="Q25" s="188">
        <f t="shared" si="3"/>
        <v>127.78</v>
      </c>
      <c r="R25" s="188">
        <f t="shared" si="2"/>
        <v>2372.27</v>
      </c>
    </row>
    <row r="26" spans="1:18">
      <c r="A26" s="178" t="s">
        <v>54</v>
      </c>
      <c r="B26" s="178" t="str">
        <f t="shared" si="0"/>
        <v>SI</v>
      </c>
      <c r="C26" s="2" t="s">
        <v>53</v>
      </c>
      <c r="D26" s="1" t="s">
        <v>54</v>
      </c>
      <c r="E26" s="234">
        <v>2500.0500000000002</v>
      </c>
      <c r="F26" s="12">
        <v>0</v>
      </c>
      <c r="G26" s="188">
        <v>0</v>
      </c>
      <c r="H26" s="188">
        <f t="shared" si="1"/>
        <v>2500.0500000000002</v>
      </c>
      <c r="I26" s="12">
        <v>0</v>
      </c>
      <c r="J26" s="234">
        <v>7.67</v>
      </c>
      <c r="K26" s="234">
        <v>62.14</v>
      </c>
      <c r="L26" s="188">
        <f>+FACTURACION!AK26</f>
        <v>240</v>
      </c>
      <c r="M26" s="234">
        <v>0.04</v>
      </c>
      <c r="N26" s="188">
        <f>+FACTURACION!AE26</f>
        <v>0</v>
      </c>
      <c r="O26" s="236">
        <v>45.13</v>
      </c>
      <c r="P26" s="188">
        <f>+FACTURACION!AJ26</f>
        <v>0</v>
      </c>
      <c r="Q26" s="188">
        <f t="shared" si="3"/>
        <v>354.98</v>
      </c>
      <c r="R26" s="188">
        <f t="shared" si="2"/>
        <v>2145.0700000000002</v>
      </c>
    </row>
    <row r="27" spans="1:18">
      <c r="A27" s="204" t="s">
        <v>292</v>
      </c>
      <c r="B27" s="178" t="str">
        <f t="shared" si="0"/>
        <v>NO</v>
      </c>
      <c r="C27" s="2" t="s">
        <v>55</v>
      </c>
      <c r="D27" s="233" t="s">
        <v>325</v>
      </c>
      <c r="E27" s="234">
        <v>20000.099999999999</v>
      </c>
      <c r="F27" s="12">
        <v>0</v>
      </c>
      <c r="G27" s="188">
        <v>0</v>
      </c>
      <c r="H27" s="188">
        <f t="shared" si="1"/>
        <v>20000.099999999999</v>
      </c>
      <c r="I27" s="12">
        <v>0</v>
      </c>
      <c r="J27" s="234">
        <v>4184.68</v>
      </c>
      <c r="K27" s="234">
        <v>566.94000000000005</v>
      </c>
      <c r="L27" s="188">
        <f>+FACTURACION!AK27</f>
        <v>0</v>
      </c>
      <c r="M27" s="235">
        <v>-0.12</v>
      </c>
      <c r="N27" s="188">
        <f>+FACTURACION!AE27</f>
        <v>0</v>
      </c>
      <c r="O27" s="236">
        <v>45.13</v>
      </c>
      <c r="P27" s="188">
        <f>+FACTURACION!AJ27</f>
        <v>0</v>
      </c>
      <c r="Q27" s="188">
        <f t="shared" si="3"/>
        <v>4796.630000000001</v>
      </c>
      <c r="R27" s="188">
        <f t="shared" si="2"/>
        <v>15203.469999999998</v>
      </c>
    </row>
    <row r="28" spans="1:18">
      <c r="A28" s="178" t="s">
        <v>57</v>
      </c>
      <c r="B28" s="178" t="str">
        <f t="shared" si="0"/>
        <v>SI</v>
      </c>
      <c r="C28" s="2" t="s">
        <v>56</v>
      </c>
      <c r="D28" s="1" t="s">
        <v>57</v>
      </c>
      <c r="E28" s="234">
        <v>2500.0500000000002</v>
      </c>
      <c r="F28" s="12">
        <v>0</v>
      </c>
      <c r="G28" s="188">
        <v>0</v>
      </c>
      <c r="H28" s="188">
        <f t="shared" si="1"/>
        <v>2500.0500000000002</v>
      </c>
      <c r="I28" s="12">
        <v>0</v>
      </c>
      <c r="J28" s="234">
        <v>7.67</v>
      </c>
      <c r="K28" s="234">
        <v>62.06</v>
      </c>
      <c r="L28" s="188">
        <f>+FACTURACION!AK28</f>
        <v>0</v>
      </c>
      <c r="M28" s="235">
        <v>-0.08</v>
      </c>
      <c r="N28" s="188">
        <f>+FACTURACION!AE28</f>
        <v>0</v>
      </c>
      <c r="O28" s="236">
        <v>45.13</v>
      </c>
      <c r="P28" s="188">
        <f>+FACTURACION!AJ28</f>
        <v>0</v>
      </c>
      <c r="Q28" s="188">
        <f t="shared" si="3"/>
        <v>114.78</v>
      </c>
      <c r="R28" s="188">
        <f t="shared" si="2"/>
        <v>2385.27</v>
      </c>
    </row>
    <row r="29" spans="1:18">
      <c r="A29" s="178" t="s">
        <v>59</v>
      </c>
      <c r="B29" s="178" t="str">
        <f t="shared" si="0"/>
        <v>SI</v>
      </c>
      <c r="C29" s="2" t="s">
        <v>58</v>
      </c>
      <c r="D29" s="1" t="s">
        <v>59</v>
      </c>
      <c r="E29" s="234">
        <v>15946.35</v>
      </c>
      <c r="F29" s="12">
        <v>0</v>
      </c>
      <c r="G29" s="188">
        <v>0</v>
      </c>
      <c r="H29" s="188">
        <f t="shared" si="1"/>
        <v>15946.35</v>
      </c>
      <c r="I29" s="12">
        <v>0</v>
      </c>
      <c r="J29" s="234">
        <v>2981.95</v>
      </c>
      <c r="K29" s="234">
        <v>451.8</v>
      </c>
      <c r="L29" s="188">
        <f>+FACTURACION!AK29</f>
        <v>323.91000000000003</v>
      </c>
      <c r="M29" s="235">
        <v>-0.11</v>
      </c>
      <c r="N29" s="188">
        <f>+FACTURACION!AE29</f>
        <v>0</v>
      </c>
      <c r="O29" s="236">
        <v>45.13</v>
      </c>
      <c r="P29" s="188">
        <f>+FACTURACION!AJ29</f>
        <v>0</v>
      </c>
      <c r="Q29" s="188">
        <f t="shared" si="3"/>
        <v>3802.68</v>
      </c>
      <c r="R29" s="188">
        <f t="shared" si="2"/>
        <v>12143.67</v>
      </c>
    </row>
    <row r="30" spans="1:18">
      <c r="A30" s="178" t="s">
        <v>61</v>
      </c>
      <c r="B30" s="178" t="str">
        <f t="shared" si="0"/>
        <v>SI</v>
      </c>
      <c r="C30" s="2" t="s">
        <v>60</v>
      </c>
      <c r="D30" s="1" t="s">
        <v>61</v>
      </c>
      <c r="E30" s="234">
        <v>7500</v>
      </c>
      <c r="F30" s="12">
        <v>0</v>
      </c>
      <c r="G30" s="188">
        <v>0</v>
      </c>
      <c r="H30" s="188">
        <f t="shared" si="1"/>
        <v>7500</v>
      </c>
      <c r="I30" s="12">
        <v>0</v>
      </c>
      <c r="J30" s="234">
        <v>1054.74</v>
      </c>
      <c r="K30" s="234">
        <v>205.52</v>
      </c>
      <c r="L30" s="188">
        <f>+FACTURACION!AK30</f>
        <v>1237</v>
      </c>
      <c r="M30" s="235">
        <v>-0.06</v>
      </c>
      <c r="N30" s="188">
        <f>+FACTURACION!AE30</f>
        <v>0</v>
      </c>
      <c r="O30" s="236">
        <v>45.13</v>
      </c>
      <c r="P30" s="188">
        <f>+FACTURACION!AJ30</f>
        <v>0</v>
      </c>
      <c r="Q30" s="188">
        <f t="shared" si="3"/>
        <v>2542.3300000000004</v>
      </c>
      <c r="R30" s="188">
        <f t="shared" si="2"/>
        <v>4957.67</v>
      </c>
    </row>
    <row r="31" spans="1:18">
      <c r="A31" s="178" t="s">
        <v>63</v>
      </c>
      <c r="B31" s="178" t="str">
        <f t="shared" si="0"/>
        <v>SI</v>
      </c>
      <c r="C31" s="2" t="s">
        <v>62</v>
      </c>
      <c r="D31" s="1" t="s">
        <v>63</v>
      </c>
      <c r="E31" s="234">
        <v>3750</v>
      </c>
      <c r="F31" s="12">
        <v>0</v>
      </c>
      <c r="G31" s="188">
        <v>0</v>
      </c>
      <c r="H31" s="188">
        <f t="shared" si="1"/>
        <v>3750</v>
      </c>
      <c r="I31" s="12">
        <v>0</v>
      </c>
      <c r="J31" s="234">
        <v>309.02999999999997</v>
      </c>
      <c r="K31" s="234">
        <v>95.62</v>
      </c>
      <c r="L31" s="188">
        <f>+FACTURACION!AK31</f>
        <v>0</v>
      </c>
      <c r="M31" s="234">
        <v>0.15</v>
      </c>
      <c r="N31" s="188">
        <f>+FACTURACION!AE31</f>
        <v>0</v>
      </c>
      <c r="O31" s="236">
        <v>45.13</v>
      </c>
      <c r="P31" s="188">
        <f>+FACTURACION!AJ31</f>
        <v>0</v>
      </c>
      <c r="Q31" s="188">
        <f t="shared" si="3"/>
        <v>449.92999999999995</v>
      </c>
      <c r="R31" s="188">
        <f t="shared" si="2"/>
        <v>3300.07</v>
      </c>
    </row>
    <row r="32" spans="1:18">
      <c r="A32" s="178" t="s">
        <v>65</v>
      </c>
      <c r="B32" s="178" t="str">
        <f t="shared" si="0"/>
        <v>SI</v>
      </c>
      <c r="C32" s="2" t="s">
        <v>64</v>
      </c>
      <c r="D32" s="1" t="s">
        <v>65</v>
      </c>
      <c r="E32" s="234">
        <v>2500.0500000000002</v>
      </c>
      <c r="F32" s="12">
        <v>0</v>
      </c>
      <c r="G32" s="188">
        <v>0</v>
      </c>
      <c r="H32" s="188">
        <f t="shared" si="1"/>
        <v>2500.0500000000002</v>
      </c>
      <c r="I32" s="12">
        <v>0</v>
      </c>
      <c r="J32" s="234">
        <v>7.67</v>
      </c>
      <c r="K32" s="234">
        <v>62.06</v>
      </c>
      <c r="L32" s="188">
        <f>+FACTURACION!AK32</f>
        <v>0</v>
      </c>
      <c r="M32" s="235">
        <v>-0.08</v>
      </c>
      <c r="N32" s="188">
        <f>+FACTURACION!AE32</f>
        <v>0</v>
      </c>
      <c r="O32" s="236">
        <v>45.13</v>
      </c>
      <c r="P32" s="188">
        <f>+FACTURACION!AJ32</f>
        <v>0</v>
      </c>
      <c r="Q32" s="188">
        <f t="shared" si="3"/>
        <v>114.78</v>
      </c>
      <c r="R32" s="188">
        <f t="shared" si="2"/>
        <v>2385.27</v>
      </c>
    </row>
    <row r="33" spans="1:18">
      <c r="A33" s="178" t="s">
        <v>67</v>
      </c>
      <c r="B33" s="178" t="str">
        <f t="shared" si="0"/>
        <v>SI</v>
      </c>
      <c r="C33" s="2" t="s">
        <v>66</v>
      </c>
      <c r="D33" s="1" t="s">
        <v>67</v>
      </c>
      <c r="E33" s="234">
        <v>3499.95</v>
      </c>
      <c r="F33" s="231">
        <v>0</v>
      </c>
      <c r="G33" s="231">
        <v>0</v>
      </c>
      <c r="H33" s="188">
        <f t="shared" si="1"/>
        <v>3499.95</v>
      </c>
      <c r="I33" s="12">
        <v>0</v>
      </c>
      <c r="J33" s="234">
        <v>151.65</v>
      </c>
      <c r="K33" s="234">
        <v>74.48</v>
      </c>
      <c r="L33" s="188">
        <f>+FACTURACION!AK33</f>
        <v>1450</v>
      </c>
      <c r="M33" s="234">
        <v>0.02</v>
      </c>
      <c r="N33" s="188">
        <f>+FACTURACION!AE33</f>
        <v>0</v>
      </c>
      <c r="O33" s="236">
        <v>45.13</v>
      </c>
      <c r="P33" s="188">
        <f>+FACTURACION!AJ33</f>
        <v>0</v>
      </c>
      <c r="Q33" s="188">
        <f t="shared" si="3"/>
        <v>1721.2800000000002</v>
      </c>
      <c r="R33" s="188">
        <f>+H33-Q33</f>
        <v>1778.6699999999996</v>
      </c>
    </row>
    <row r="34" spans="1:18">
      <c r="A34" s="178" t="s">
        <v>69</v>
      </c>
      <c r="B34" s="178" t="str">
        <f t="shared" si="0"/>
        <v>SI</v>
      </c>
      <c r="C34" s="2" t="s">
        <v>68</v>
      </c>
      <c r="D34" s="1" t="s">
        <v>69</v>
      </c>
      <c r="E34" s="234">
        <v>3000</v>
      </c>
      <c r="F34" s="12">
        <v>0</v>
      </c>
      <c r="G34" s="188">
        <v>0</v>
      </c>
      <c r="H34" s="188">
        <f t="shared" si="1"/>
        <v>3000</v>
      </c>
      <c r="I34" s="12">
        <v>0</v>
      </c>
      <c r="J34" s="234">
        <v>76.98</v>
      </c>
      <c r="K34" s="234">
        <v>74.48</v>
      </c>
      <c r="L34" s="188">
        <f>+FACTURACION!AK34</f>
        <v>0</v>
      </c>
      <c r="M34" s="235">
        <v>-0.06</v>
      </c>
      <c r="N34" s="188">
        <f>+FACTURACION!AE34</f>
        <v>0</v>
      </c>
      <c r="O34" s="236">
        <v>45.13</v>
      </c>
      <c r="P34" s="188">
        <f>+FACTURACION!AJ34</f>
        <v>0</v>
      </c>
      <c r="Q34" s="188">
        <f t="shared" si="3"/>
        <v>196.53</v>
      </c>
      <c r="R34" s="188">
        <f t="shared" si="2"/>
        <v>2803.47</v>
      </c>
    </row>
    <row r="35" spans="1:18">
      <c r="A35" s="178" t="s">
        <v>71</v>
      </c>
      <c r="B35" s="178" t="str">
        <f t="shared" si="0"/>
        <v>SI</v>
      </c>
      <c r="C35" s="2" t="s">
        <v>70</v>
      </c>
      <c r="D35" s="1" t="s">
        <v>71</v>
      </c>
      <c r="E35" s="234">
        <v>2250</v>
      </c>
      <c r="F35" s="12">
        <v>0</v>
      </c>
      <c r="G35" s="188">
        <v>0</v>
      </c>
      <c r="H35" s="188">
        <f t="shared" si="1"/>
        <v>2250</v>
      </c>
      <c r="I35" s="235">
        <v>-34.020000000000003</v>
      </c>
      <c r="J35" s="234">
        <v>0</v>
      </c>
      <c r="K35" s="234">
        <v>55.93</v>
      </c>
      <c r="L35" s="188">
        <f>+FACTURACION!AK35</f>
        <v>0</v>
      </c>
      <c r="M35" s="235">
        <v>-0.11</v>
      </c>
      <c r="N35" s="188">
        <f>+FACTURACION!AE35</f>
        <v>0</v>
      </c>
      <c r="O35" s="236">
        <v>45.13</v>
      </c>
      <c r="P35" s="188">
        <f>+FACTURACION!AJ35</f>
        <v>0</v>
      </c>
      <c r="Q35" s="188">
        <f t="shared" si="3"/>
        <v>66.930000000000007</v>
      </c>
      <c r="R35" s="188">
        <f t="shared" si="2"/>
        <v>2183.0700000000002</v>
      </c>
    </row>
    <row r="36" spans="1:18">
      <c r="A36" s="178" t="s">
        <v>73</v>
      </c>
      <c r="B36" s="178" t="str">
        <f t="shared" si="0"/>
        <v>SI</v>
      </c>
      <c r="C36" s="2" t="s">
        <v>72</v>
      </c>
      <c r="D36" s="1" t="s">
        <v>73</v>
      </c>
      <c r="E36" s="234"/>
      <c r="F36" s="12">
        <v>0</v>
      </c>
      <c r="G36" s="188">
        <v>0</v>
      </c>
      <c r="H36" s="188">
        <f t="shared" si="1"/>
        <v>0</v>
      </c>
      <c r="I36" s="12">
        <v>0</v>
      </c>
      <c r="J36" s="234"/>
      <c r="K36" s="234"/>
      <c r="L36" s="188">
        <f>+FACTURACION!AK36</f>
        <v>0</v>
      </c>
      <c r="M36" s="235"/>
      <c r="N36" s="188">
        <f>+FACTURACION!AE36</f>
        <v>0</v>
      </c>
      <c r="O36" s="236"/>
      <c r="P36" s="188">
        <f>+FACTURACION!AJ36</f>
        <v>0</v>
      </c>
      <c r="Q36" s="188">
        <v>0</v>
      </c>
      <c r="R36" s="188">
        <f t="shared" si="2"/>
        <v>0</v>
      </c>
    </row>
    <row r="37" spans="1:18" ht="19.5" customHeight="1">
      <c r="A37" s="178" t="s">
        <v>75</v>
      </c>
      <c r="B37" s="178" t="str">
        <f t="shared" si="0"/>
        <v>SI</v>
      </c>
      <c r="C37" s="2" t="s">
        <v>74</v>
      </c>
      <c r="D37" s="1" t="s">
        <v>75</v>
      </c>
      <c r="E37" s="234">
        <v>1750.05</v>
      </c>
      <c r="F37" s="12">
        <v>0</v>
      </c>
      <c r="G37" s="188">
        <v>0</v>
      </c>
      <c r="H37" s="188">
        <f t="shared" si="1"/>
        <v>1750.05</v>
      </c>
      <c r="I37" s="235">
        <v>-87.68</v>
      </c>
      <c r="J37" s="234">
        <v>0</v>
      </c>
      <c r="K37" s="234">
        <v>43.68</v>
      </c>
      <c r="L37" s="188">
        <f>+FACTURACION!AK37</f>
        <v>0</v>
      </c>
      <c r="M37" s="235">
        <v>-0.15</v>
      </c>
      <c r="N37" s="188">
        <f>+FACTURACION!AE37</f>
        <v>0</v>
      </c>
      <c r="O37" s="236">
        <v>45.13</v>
      </c>
      <c r="P37" s="188">
        <f>+FACTURACION!AJ37</f>
        <v>0</v>
      </c>
      <c r="Q37" s="188">
        <f t="shared" si="3"/>
        <v>0.97999999999999687</v>
      </c>
      <c r="R37" s="188">
        <f t="shared" si="2"/>
        <v>1749.07</v>
      </c>
    </row>
    <row r="38" spans="1:18">
      <c r="A38" s="178" t="s">
        <v>77</v>
      </c>
      <c r="B38" s="178" t="str">
        <f t="shared" si="0"/>
        <v>SI</v>
      </c>
      <c r="C38" s="2" t="s">
        <v>76</v>
      </c>
      <c r="D38" s="1" t="s">
        <v>77</v>
      </c>
      <c r="E38" s="234">
        <v>3000</v>
      </c>
      <c r="F38" s="12">
        <v>0</v>
      </c>
      <c r="G38" s="188">
        <v>0</v>
      </c>
      <c r="H38" s="188">
        <f t="shared" si="1"/>
        <v>3000</v>
      </c>
      <c r="I38" s="234">
        <v>0</v>
      </c>
      <c r="J38" s="234">
        <v>76.98</v>
      </c>
      <c r="K38" s="234">
        <v>74.48</v>
      </c>
      <c r="L38" s="188">
        <f>+FACTURACION!AK38</f>
        <v>0</v>
      </c>
      <c r="M38" s="235">
        <v>-0.06</v>
      </c>
      <c r="N38" s="188">
        <f>+FACTURACION!AE38</f>
        <v>0</v>
      </c>
      <c r="O38" s="236">
        <v>45.13</v>
      </c>
      <c r="P38" s="188">
        <f>+FACTURACION!AJ38</f>
        <v>0</v>
      </c>
      <c r="Q38" s="188">
        <f t="shared" si="3"/>
        <v>196.53</v>
      </c>
      <c r="R38" s="188">
        <f t="shared" si="2"/>
        <v>2803.47</v>
      </c>
    </row>
    <row r="39" spans="1:18">
      <c r="A39" s="178" t="s">
        <v>79</v>
      </c>
      <c r="B39" s="178" t="str">
        <f t="shared" si="0"/>
        <v>SI</v>
      </c>
      <c r="C39" s="2" t="s">
        <v>78</v>
      </c>
      <c r="D39" s="1" t="s">
        <v>79</v>
      </c>
      <c r="E39" s="234">
        <v>2750.1</v>
      </c>
      <c r="F39" s="12">
        <v>0</v>
      </c>
      <c r="G39" s="188">
        <v>0</v>
      </c>
      <c r="H39" s="188">
        <f t="shared" si="1"/>
        <v>2750.1</v>
      </c>
      <c r="I39" s="234">
        <v>0</v>
      </c>
      <c r="J39" s="234">
        <v>49.79</v>
      </c>
      <c r="K39" s="234">
        <v>68.28</v>
      </c>
      <c r="L39" s="188">
        <f>+FACTURACION!AK39</f>
        <v>0</v>
      </c>
      <c r="M39" s="234">
        <v>0.03</v>
      </c>
      <c r="N39" s="188">
        <f>+FACTURACION!AE39</f>
        <v>0</v>
      </c>
      <c r="O39" s="236">
        <v>45.13</v>
      </c>
      <c r="P39" s="188">
        <f>+FACTURACION!AJ39</f>
        <v>0</v>
      </c>
      <c r="Q39" s="188">
        <f t="shared" si="3"/>
        <v>163.22999999999999</v>
      </c>
      <c r="R39" s="188">
        <f t="shared" si="2"/>
        <v>2586.87</v>
      </c>
    </row>
    <row r="40" spans="1:18">
      <c r="A40" s="178" t="s">
        <v>81</v>
      </c>
      <c r="B40" s="178" t="str">
        <f t="shared" si="0"/>
        <v>SI</v>
      </c>
      <c r="C40" s="2" t="s">
        <v>80</v>
      </c>
      <c r="D40" s="1" t="s">
        <v>81</v>
      </c>
      <c r="E40" s="234">
        <v>3750</v>
      </c>
      <c r="F40" s="12">
        <v>0</v>
      </c>
      <c r="G40" s="188">
        <v>0</v>
      </c>
      <c r="H40" s="188">
        <f t="shared" si="1"/>
        <v>3750</v>
      </c>
      <c r="I40" s="234">
        <v>0</v>
      </c>
      <c r="J40" s="234">
        <v>309.02999999999997</v>
      </c>
      <c r="K40" s="234">
        <v>96.32</v>
      </c>
      <c r="L40" s="188">
        <f>+FACTURACION!AK40</f>
        <v>357.22</v>
      </c>
      <c r="M40" s="234">
        <v>0.05</v>
      </c>
      <c r="N40" s="188">
        <f>+FACTURACION!AE40</f>
        <v>870.58</v>
      </c>
      <c r="O40" s="236">
        <v>45.13</v>
      </c>
      <c r="P40" s="188">
        <f>+FACTURACION!AJ40</f>
        <v>0</v>
      </c>
      <c r="Q40" s="188">
        <f t="shared" si="3"/>
        <v>1678.33</v>
      </c>
      <c r="R40" s="188">
        <f t="shared" si="2"/>
        <v>2071.67</v>
      </c>
    </row>
    <row r="41" spans="1:18">
      <c r="A41" s="178" t="s">
        <v>83</v>
      </c>
      <c r="B41" s="178" t="str">
        <f t="shared" si="0"/>
        <v>SI</v>
      </c>
      <c r="C41" s="2" t="s">
        <v>82</v>
      </c>
      <c r="D41" s="1" t="s">
        <v>83</v>
      </c>
      <c r="E41" s="234">
        <v>2000.1</v>
      </c>
      <c r="F41" s="12">
        <v>0</v>
      </c>
      <c r="G41" s="188">
        <v>0</v>
      </c>
      <c r="H41" s="188">
        <f t="shared" si="1"/>
        <v>2000.1</v>
      </c>
      <c r="I41" s="235">
        <v>-71.680000000000007</v>
      </c>
      <c r="J41" s="234">
        <v>0</v>
      </c>
      <c r="K41" s="234">
        <v>49.9</v>
      </c>
      <c r="L41" s="188">
        <f>+FACTURACION!AK41</f>
        <v>0</v>
      </c>
      <c r="M41" s="235">
        <v>-0.12</v>
      </c>
      <c r="N41" s="188">
        <f>+FACTURACION!AE41</f>
        <v>0</v>
      </c>
      <c r="O41" s="236">
        <v>45.13</v>
      </c>
      <c r="P41" s="188">
        <f>+FACTURACION!AJ41</f>
        <v>0</v>
      </c>
      <c r="Q41" s="188">
        <f t="shared" si="3"/>
        <v>23.229999999999993</v>
      </c>
      <c r="R41" s="188">
        <f t="shared" si="2"/>
        <v>1976.87</v>
      </c>
    </row>
    <row r="42" spans="1:18">
      <c r="A42" s="178" t="s">
        <v>85</v>
      </c>
      <c r="B42" s="178" t="str">
        <f t="shared" si="0"/>
        <v>SI</v>
      </c>
      <c r="C42" s="2" t="s">
        <v>84</v>
      </c>
      <c r="D42" s="1" t="s">
        <v>85</v>
      </c>
      <c r="E42" s="234">
        <v>5500.05</v>
      </c>
      <c r="F42" s="12">
        <v>0</v>
      </c>
      <c r="G42" s="188">
        <v>0</v>
      </c>
      <c r="H42" s="188">
        <f t="shared" si="1"/>
        <v>5500.05</v>
      </c>
      <c r="I42" s="234">
        <v>0</v>
      </c>
      <c r="J42" s="234">
        <v>627.54999999999995</v>
      </c>
      <c r="K42" s="234">
        <v>146.38</v>
      </c>
      <c r="L42" s="188">
        <f>+FACTURACION!AK42</f>
        <v>0</v>
      </c>
      <c r="M42" s="235">
        <v>-0.08</v>
      </c>
      <c r="N42" s="188">
        <f>+FACTURACION!AE42</f>
        <v>0</v>
      </c>
      <c r="O42" s="236">
        <v>45.13</v>
      </c>
      <c r="P42" s="188">
        <f>+FACTURACION!AJ42</f>
        <v>0</v>
      </c>
      <c r="Q42" s="188">
        <f t="shared" si="3"/>
        <v>818.9799999999999</v>
      </c>
      <c r="R42" s="188">
        <f t="shared" si="2"/>
        <v>4681.0700000000006</v>
      </c>
    </row>
    <row r="43" spans="1:18">
      <c r="A43" s="178" t="s">
        <v>87</v>
      </c>
      <c r="B43" s="178" t="str">
        <f t="shared" si="0"/>
        <v>SI</v>
      </c>
      <c r="C43" s="2" t="s">
        <v>86</v>
      </c>
      <c r="D43" s="1" t="s">
        <v>87</v>
      </c>
      <c r="E43" s="234">
        <v>7500</v>
      </c>
      <c r="F43" s="12">
        <v>0</v>
      </c>
      <c r="G43" s="188">
        <v>0</v>
      </c>
      <c r="H43" s="188">
        <f t="shared" si="1"/>
        <v>7500</v>
      </c>
      <c r="I43" s="234">
        <v>0</v>
      </c>
      <c r="J43" s="234">
        <v>1054.74</v>
      </c>
      <c r="K43" s="234">
        <v>205.52</v>
      </c>
      <c r="L43" s="188">
        <f>+FACTURACION!AK43</f>
        <v>905</v>
      </c>
      <c r="M43" s="235">
        <v>-0.06</v>
      </c>
      <c r="N43" s="188">
        <f>+FACTURACION!AE43</f>
        <v>0</v>
      </c>
      <c r="O43" s="236">
        <v>45.13</v>
      </c>
      <c r="P43" s="188">
        <f>+FACTURACION!AJ43</f>
        <v>0</v>
      </c>
      <c r="Q43" s="188">
        <f t="shared" si="3"/>
        <v>2210.3300000000004</v>
      </c>
      <c r="R43" s="188">
        <f t="shared" si="2"/>
        <v>5289.67</v>
      </c>
    </row>
    <row r="44" spans="1:18">
      <c r="A44" s="178" t="s">
        <v>89</v>
      </c>
      <c r="B44" s="178" t="str">
        <f t="shared" si="0"/>
        <v>SI</v>
      </c>
      <c r="C44" s="2" t="s">
        <v>88</v>
      </c>
      <c r="D44" s="1" t="s">
        <v>89</v>
      </c>
      <c r="E44" s="234">
        <v>2600</v>
      </c>
      <c r="F44" s="231">
        <v>0</v>
      </c>
      <c r="G44" s="231">
        <v>0</v>
      </c>
      <c r="H44" s="188">
        <f t="shared" si="1"/>
        <v>2600</v>
      </c>
      <c r="I44" s="234">
        <v>0</v>
      </c>
      <c r="J44" s="234">
        <v>18.54</v>
      </c>
      <c r="K44" s="234">
        <v>64.62</v>
      </c>
      <c r="L44" s="188">
        <f>+FACTURACION!AK44</f>
        <v>0</v>
      </c>
      <c r="M44" s="234">
        <v>0.04</v>
      </c>
      <c r="N44" s="188">
        <f>+FACTURACION!AE44</f>
        <v>0</v>
      </c>
      <c r="O44" s="236">
        <v>45.13</v>
      </c>
      <c r="P44" s="188">
        <f>+FACTURACION!AJ44</f>
        <v>0</v>
      </c>
      <c r="Q44" s="188">
        <f t="shared" si="3"/>
        <v>128.33000000000001</v>
      </c>
      <c r="R44" s="188">
        <f t="shared" si="2"/>
        <v>2471.67</v>
      </c>
    </row>
    <row r="45" spans="1:18">
      <c r="A45" s="178" t="s">
        <v>91</v>
      </c>
      <c r="B45" s="178" t="str">
        <f t="shared" si="0"/>
        <v>SI</v>
      </c>
      <c r="C45" s="2" t="s">
        <v>90</v>
      </c>
      <c r="D45" s="1" t="s">
        <v>91</v>
      </c>
      <c r="E45" s="234">
        <v>2000.1</v>
      </c>
      <c r="F45" s="12">
        <v>0</v>
      </c>
      <c r="G45" s="188">
        <v>0</v>
      </c>
      <c r="H45" s="188">
        <f t="shared" si="1"/>
        <v>2000.1</v>
      </c>
      <c r="I45" s="235">
        <v>-71.680000000000007</v>
      </c>
      <c r="J45" s="234">
        <v>0</v>
      </c>
      <c r="K45" s="234">
        <v>49.85</v>
      </c>
      <c r="L45" s="188">
        <f>+FACTURACION!AK45</f>
        <v>0</v>
      </c>
      <c r="M45" s="234">
        <v>0.13</v>
      </c>
      <c r="N45" s="188">
        <f>+FACTURACION!AE45</f>
        <v>0</v>
      </c>
      <c r="O45" s="236">
        <v>45.13</v>
      </c>
      <c r="P45" s="188">
        <f>+FACTURACION!AJ45</f>
        <v>0</v>
      </c>
      <c r="Q45" s="188">
        <f t="shared" si="3"/>
        <v>23.429999999999996</v>
      </c>
      <c r="R45" s="188">
        <f t="shared" si="2"/>
        <v>1976.6699999999998</v>
      </c>
    </row>
    <row r="46" spans="1:18">
      <c r="A46" s="178" t="s">
        <v>93</v>
      </c>
      <c r="B46" s="178" t="str">
        <f t="shared" si="0"/>
        <v>SI</v>
      </c>
      <c r="C46" s="2" t="s">
        <v>92</v>
      </c>
      <c r="D46" s="1" t="s">
        <v>93</v>
      </c>
      <c r="E46" s="234">
        <v>7000.05</v>
      </c>
      <c r="F46" s="12">
        <v>0</v>
      </c>
      <c r="G46" s="188">
        <v>0</v>
      </c>
      <c r="H46" s="188">
        <f t="shared" si="1"/>
        <v>7000.05</v>
      </c>
      <c r="I46" s="234">
        <v>0</v>
      </c>
      <c r="J46" s="234">
        <v>947.95</v>
      </c>
      <c r="K46" s="234">
        <v>190.95</v>
      </c>
      <c r="L46" s="188">
        <f>+FACTURACION!AK46</f>
        <v>0</v>
      </c>
      <c r="M46" s="234">
        <v>0.15</v>
      </c>
      <c r="N46" s="188">
        <f>+FACTURACION!AE46</f>
        <v>0</v>
      </c>
      <c r="O46" s="236">
        <v>45.13</v>
      </c>
      <c r="P46" s="188">
        <f>+FACTURACION!AJ46</f>
        <v>435</v>
      </c>
      <c r="Q46" s="188">
        <f t="shared" si="3"/>
        <v>1619.1800000000003</v>
      </c>
      <c r="R46" s="188">
        <f t="shared" si="2"/>
        <v>5380.87</v>
      </c>
    </row>
    <row r="47" spans="1:18">
      <c r="A47" s="178" t="s">
        <v>95</v>
      </c>
      <c r="B47" s="178" t="str">
        <f t="shared" si="0"/>
        <v>SI</v>
      </c>
      <c r="C47" s="2" t="s">
        <v>94</v>
      </c>
      <c r="D47" s="1" t="s">
        <v>95</v>
      </c>
      <c r="E47" s="234">
        <v>6250.05</v>
      </c>
      <c r="F47" s="12">
        <v>0</v>
      </c>
      <c r="G47" s="188">
        <v>0</v>
      </c>
      <c r="H47" s="188">
        <f t="shared" si="1"/>
        <v>6250.05</v>
      </c>
      <c r="I47" s="234">
        <v>0</v>
      </c>
      <c r="J47" s="234">
        <v>787.75</v>
      </c>
      <c r="K47" s="234">
        <v>168.6</v>
      </c>
      <c r="L47" s="188">
        <f>+FACTURACION!AK47</f>
        <v>0</v>
      </c>
      <c r="M47" s="235">
        <v>-0.1</v>
      </c>
      <c r="N47" s="188">
        <f>+FACTURACION!AE47</f>
        <v>0</v>
      </c>
      <c r="O47" s="236">
        <v>45.13</v>
      </c>
      <c r="P47" s="188">
        <f>+FACTURACION!AJ47</f>
        <v>0</v>
      </c>
      <c r="Q47" s="188">
        <f t="shared" si="3"/>
        <v>1001.38</v>
      </c>
      <c r="R47" s="188">
        <f t="shared" si="2"/>
        <v>5248.67</v>
      </c>
    </row>
    <row r="48" spans="1:18">
      <c r="A48" s="178" t="s">
        <v>97</v>
      </c>
      <c r="B48" s="178" t="str">
        <f t="shared" si="0"/>
        <v>SI</v>
      </c>
      <c r="C48" s="2" t="s">
        <v>96</v>
      </c>
      <c r="D48" s="1" t="s">
        <v>97</v>
      </c>
      <c r="E48" s="234">
        <v>2250</v>
      </c>
      <c r="F48" s="12">
        <v>0</v>
      </c>
      <c r="G48" s="188">
        <v>0</v>
      </c>
      <c r="H48" s="188">
        <f t="shared" si="1"/>
        <v>2250</v>
      </c>
      <c r="I48" s="235">
        <v>-34.020000000000003</v>
      </c>
      <c r="J48" s="234">
        <v>0</v>
      </c>
      <c r="K48" s="234">
        <v>55.86</v>
      </c>
      <c r="L48" s="188">
        <f>+FACTURACION!AK48</f>
        <v>0</v>
      </c>
      <c r="M48" s="235">
        <v>-0.04</v>
      </c>
      <c r="N48" s="188">
        <f>+FACTURACION!AE48</f>
        <v>0</v>
      </c>
      <c r="O48" s="236">
        <v>45.13</v>
      </c>
      <c r="P48" s="188">
        <f>+FACTURACION!AJ48</f>
        <v>0</v>
      </c>
      <c r="Q48" s="188">
        <f t="shared" si="3"/>
        <v>66.930000000000007</v>
      </c>
      <c r="R48" s="188">
        <f t="shared" si="2"/>
        <v>2183.0700000000002</v>
      </c>
    </row>
    <row r="49" spans="1:18">
      <c r="A49" s="178" t="s">
        <v>99</v>
      </c>
      <c r="B49" s="178" t="str">
        <f t="shared" si="0"/>
        <v>SI</v>
      </c>
      <c r="C49" s="2" t="s">
        <v>98</v>
      </c>
      <c r="D49" s="1" t="s">
        <v>99</v>
      </c>
      <c r="E49" s="234">
        <v>5868.75</v>
      </c>
      <c r="F49" s="12">
        <v>0</v>
      </c>
      <c r="G49" s="188">
        <v>0</v>
      </c>
      <c r="H49" s="188">
        <f t="shared" si="1"/>
        <v>5868.75</v>
      </c>
      <c r="I49" s="234">
        <v>0</v>
      </c>
      <c r="J49" s="234">
        <v>706.3</v>
      </c>
      <c r="K49" s="234">
        <v>157.08000000000001</v>
      </c>
      <c r="L49" s="188">
        <f>+FACTURACION!AK49</f>
        <v>0</v>
      </c>
      <c r="M49" s="235">
        <v>-0.03</v>
      </c>
      <c r="N49" s="188">
        <f>+FACTURACION!AE49</f>
        <v>0</v>
      </c>
      <c r="O49" s="236">
        <v>45.13</v>
      </c>
      <c r="P49" s="188">
        <f>+FACTURACION!AJ49</f>
        <v>0</v>
      </c>
      <c r="Q49" s="188">
        <f t="shared" si="3"/>
        <v>908.48</v>
      </c>
      <c r="R49" s="188">
        <f t="shared" si="2"/>
        <v>4960.2700000000004</v>
      </c>
    </row>
    <row r="50" spans="1:18">
      <c r="A50" s="178" t="s">
        <v>101</v>
      </c>
      <c r="B50" s="178" t="str">
        <f t="shared" si="0"/>
        <v>SI</v>
      </c>
      <c r="C50" s="2" t="s">
        <v>100</v>
      </c>
      <c r="D50" s="1" t="s">
        <v>101</v>
      </c>
      <c r="E50" s="234">
        <v>3750</v>
      </c>
      <c r="F50" s="12">
        <v>0</v>
      </c>
      <c r="G50" s="188">
        <v>0</v>
      </c>
      <c r="H50" s="188">
        <f t="shared" si="1"/>
        <v>3750</v>
      </c>
      <c r="I50" s="234">
        <v>0</v>
      </c>
      <c r="J50" s="234">
        <v>309.02999999999997</v>
      </c>
      <c r="K50" s="234">
        <v>96.32</v>
      </c>
      <c r="L50" s="188">
        <f>+FACTURACION!AK50</f>
        <v>765</v>
      </c>
      <c r="M50" s="235">
        <v>-0.15</v>
      </c>
      <c r="N50" s="188">
        <f>+FACTURACION!AE50</f>
        <v>0</v>
      </c>
      <c r="O50" s="236">
        <v>45.13</v>
      </c>
      <c r="P50" s="188">
        <f>+FACTURACION!AJ50</f>
        <v>0</v>
      </c>
      <c r="Q50" s="188">
        <f t="shared" si="3"/>
        <v>1215.33</v>
      </c>
      <c r="R50" s="188">
        <f t="shared" si="2"/>
        <v>2534.67</v>
      </c>
    </row>
    <row r="51" spans="1:18">
      <c r="A51" s="178" t="s">
        <v>103</v>
      </c>
      <c r="B51" s="178" t="str">
        <f t="shared" si="0"/>
        <v>SI</v>
      </c>
      <c r="C51" s="2" t="s">
        <v>102</v>
      </c>
      <c r="D51" s="1" t="s">
        <v>103</v>
      </c>
      <c r="E51" s="234">
        <v>5868.6</v>
      </c>
      <c r="F51" s="12">
        <v>0</v>
      </c>
      <c r="G51" s="188">
        <v>0</v>
      </c>
      <c r="H51" s="188">
        <f t="shared" si="1"/>
        <v>5868.6</v>
      </c>
      <c r="I51" s="234">
        <v>0</v>
      </c>
      <c r="J51" s="234">
        <v>706.27</v>
      </c>
      <c r="K51" s="234">
        <v>157.07</v>
      </c>
      <c r="L51" s="188">
        <f>+FACTURACION!AK51</f>
        <v>0</v>
      </c>
      <c r="M51" s="234">
        <v>0.06</v>
      </c>
      <c r="N51" s="188">
        <f>+FACTURACION!AE51</f>
        <v>0</v>
      </c>
      <c r="O51" s="236">
        <v>45.13</v>
      </c>
      <c r="P51" s="188">
        <f>+FACTURACION!AJ51</f>
        <v>0</v>
      </c>
      <c r="Q51" s="188">
        <f t="shared" si="3"/>
        <v>908.52999999999986</v>
      </c>
      <c r="R51" s="188">
        <f t="shared" si="2"/>
        <v>4960.0700000000006</v>
      </c>
    </row>
    <row r="52" spans="1:18">
      <c r="A52" s="178" t="s">
        <v>105</v>
      </c>
      <c r="B52" s="178" t="str">
        <f t="shared" si="0"/>
        <v>SI</v>
      </c>
      <c r="C52" s="2" t="s">
        <v>104</v>
      </c>
      <c r="D52" s="1" t="s">
        <v>105</v>
      </c>
      <c r="E52" s="234">
        <v>3750</v>
      </c>
      <c r="F52" s="12">
        <v>0</v>
      </c>
      <c r="G52" s="188">
        <v>0</v>
      </c>
      <c r="H52" s="188">
        <f t="shared" si="1"/>
        <v>3750</v>
      </c>
      <c r="I52" s="234">
        <v>0</v>
      </c>
      <c r="J52" s="234">
        <v>309.02999999999997</v>
      </c>
      <c r="K52" s="234">
        <v>95.62</v>
      </c>
      <c r="L52" s="188">
        <f>+FACTURACION!AK52</f>
        <v>345</v>
      </c>
      <c r="M52" s="235">
        <v>-0.05</v>
      </c>
      <c r="N52" s="188">
        <f>+FACTURACION!AE52</f>
        <v>0</v>
      </c>
      <c r="O52" s="236">
        <v>45.13</v>
      </c>
      <c r="P52" s="188">
        <f>+FACTURACION!AJ52</f>
        <v>0</v>
      </c>
      <c r="Q52" s="188">
        <f t="shared" si="3"/>
        <v>794.73</v>
      </c>
      <c r="R52" s="188">
        <f t="shared" si="2"/>
        <v>2955.27</v>
      </c>
    </row>
    <row r="53" spans="1:18">
      <c r="A53" s="178" t="s">
        <v>107</v>
      </c>
      <c r="B53" s="178" t="str">
        <f t="shared" si="0"/>
        <v>SI</v>
      </c>
      <c r="C53" s="2" t="s">
        <v>106</v>
      </c>
      <c r="D53" s="1" t="s">
        <v>107</v>
      </c>
      <c r="E53" s="234">
        <v>3250.05</v>
      </c>
      <c r="F53" s="12">
        <v>0</v>
      </c>
      <c r="G53" s="188">
        <v>0</v>
      </c>
      <c r="H53" s="188">
        <f t="shared" si="1"/>
        <v>3250.05</v>
      </c>
      <c r="I53" s="234">
        <v>0</v>
      </c>
      <c r="J53" s="234">
        <v>124.46</v>
      </c>
      <c r="K53" s="234">
        <v>81.12</v>
      </c>
      <c r="L53" s="188">
        <f>+FACTURACION!AK53</f>
        <v>0</v>
      </c>
      <c r="M53" s="235">
        <v>-0.13</v>
      </c>
      <c r="N53" s="188">
        <f>+FACTURACION!AE53</f>
        <v>0</v>
      </c>
      <c r="O53" s="236">
        <v>45.13</v>
      </c>
      <c r="P53" s="188">
        <f>+FACTURACION!AJ53</f>
        <v>0</v>
      </c>
      <c r="Q53" s="188">
        <f>SUM(I53:P53)</f>
        <v>250.57999999999998</v>
      </c>
      <c r="R53" s="188">
        <f t="shared" si="2"/>
        <v>2999.4700000000003</v>
      </c>
    </row>
    <row r="54" spans="1:18">
      <c r="A54" s="180"/>
      <c r="C54" s="14" t="s">
        <v>108</v>
      </c>
      <c r="D54" s="7"/>
      <c r="E54" s="7" t="s">
        <v>109</v>
      </c>
      <c r="F54" s="7" t="s">
        <v>109</v>
      </c>
      <c r="G54" s="180" t="s">
        <v>109</v>
      </c>
      <c r="H54" s="7" t="s">
        <v>109</v>
      </c>
      <c r="I54" s="7" t="s">
        <v>109</v>
      </c>
      <c r="J54" s="7" t="s">
        <v>109</v>
      </c>
      <c r="K54" s="7" t="s">
        <v>109</v>
      </c>
      <c r="L54" s="7" t="s">
        <v>109</v>
      </c>
      <c r="M54" s="7" t="s">
        <v>109</v>
      </c>
      <c r="N54" s="7" t="s">
        <v>109</v>
      </c>
      <c r="O54" s="180" t="s">
        <v>109</v>
      </c>
      <c r="P54" s="7" t="s">
        <v>109</v>
      </c>
      <c r="Q54" s="7" t="s">
        <v>109</v>
      </c>
      <c r="R54" s="180" t="s">
        <v>109</v>
      </c>
    </row>
    <row r="55" spans="1:18" s="7" customFormat="1">
      <c r="A55" s="178"/>
      <c r="B55" s="178"/>
      <c r="C55" s="2"/>
      <c r="D55" s="1"/>
      <c r="E55" s="16">
        <f t="shared" ref="E55:R55" si="4">SUM(E12:E54)</f>
        <v>195003.8</v>
      </c>
      <c r="F55" s="16">
        <f t="shared" si="4"/>
        <v>0</v>
      </c>
      <c r="G55" s="190">
        <f t="shared" si="4"/>
        <v>332.21999999999997</v>
      </c>
      <c r="H55" s="16">
        <f t="shared" si="4"/>
        <v>195336.02</v>
      </c>
      <c r="I55" s="16">
        <f t="shared" si="4"/>
        <v>-299.08000000000004</v>
      </c>
      <c r="J55" s="16">
        <f t="shared" si="4"/>
        <v>21250.359999999997</v>
      </c>
      <c r="K55" s="16">
        <f t="shared" si="4"/>
        <v>5190.4699999999993</v>
      </c>
      <c r="L55" s="16">
        <f t="shared" si="4"/>
        <v>17268.129999999997</v>
      </c>
      <c r="M55" s="16">
        <f t="shared" si="4"/>
        <v>-1.04</v>
      </c>
      <c r="N55" s="16">
        <f t="shared" si="4"/>
        <v>870.58</v>
      </c>
      <c r="O55" s="190">
        <f t="shared" ref="O55" si="5">SUM(O12:O54)</f>
        <v>1805.2000000000019</v>
      </c>
      <c r="P55" s="16">
        <f t="shared" si="4"/>
        <v>2005</v>
      </c>
      <c r="Q55" s="16">
        <f t="shared" si="4"/>
        <v>48089.620000000024</v>
      </c>
      <c r="R55" s="190">
        <f t="shared" si="4"/>
        <v>147246.40000000002</v>
      </c>
    </row>
    <row r="56" spans="1:18">
      <c r="C56" s="179"/>
      <c r="D56" s="178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</row>
    <row r="57" spans="1:18">
      <c r="C57" s="179"/>
      <c r="D57" s="178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</row>
    <row r="58" spans="1:18">
      <c r="C58" s="179"/>
      <c r="D58" s="178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</row>
    <row r="60" spans="1:18">
      <c r="C60" s="10" t="s">
        <v>110</v>
      </c>
    </row>
    <row r="61" spans="1:18">
      <c r="A61" s="178" t="s">
        <v>293</v>
      </c>
      <c r="B61" s="178" t="str">
        <f t="shared" ref="B61:B76" si="6">IF(A61=D61,"SI","NO")</f>
        <v>NO</v>
      </c>
      <c r="C61" s="2" t="s">
        <v>111</v>
      </c>
      <c r="D61" s="233" t="s">
        <v>327</v>
      </c>
      <c r="E61" s="12">
        <v>1200</v>
      </c>
      <c r="F61" s="12">
        <f>+FACTURACION!Z61</f>
        <v>1111.76</v>
      </c>
      <c r="G61" s="188">
        <v>0</v>
      </c>
      <c r="H61" s="188">
        <f t="shared" ref="H61:H75" si="7">SUM(E61:G61)</f>
        <v>2311.7600000000002</v>
      </c>
      <c r="I61" s="237">
        <v>-27.3</v>
      </c>
      <c r="J61" s="236">
        <v>0</v>
      </c>
      <c r="K61" s="236">
        <v>29.79</v>
      </c>
      <c r="L61" s="188">
        <f>+FACTURACION!AK61</f>
        <v>0</v>
      </c>
      <c r="M61" s="236">
        <v>7.0000000000000007E-2</v>
      </c>
      <c r="N61" s="188">
        <f>+FACTURACION!AE61</f>
        <v>0</v>
      </c>
      <c r="O61" s="236">
        <v>45.13</v>
      </c>
      <c r="P61" s="188">
        <f>+FACTURACION!AJ61</f>
        <v>0</v>
      </c>
      <c r="Q61" s="188">
        <f t="shared" ref="Q61:Q76" si="8">SUM(I61:P61)</f>
        <v>47.69</v>
      </c>
      <c r="R61" s="188">
        <f t="shared" ref="R61:R76" si="9">+H61-Q61</f>
        <v>2264.0700000000002</v>
      </c>
    </row>
    <row r="62" spans="1:18">
      <c r="A62" s="178" t="s">
        <v>113</v>
      </c>
      <c r="B62" s="178" t="str">
        <f t="shared" si="6"/>
        <v>SI</v>
      </c>
      <c r="C62" s="2" t="s">
        <v>112</v>
      </c>
      <c r="D62" s="1" t="s">
        <v>113</v>
      </c>
      <c r="E62" s="12">
        <v>1200</v>
      </c>
      <c r="F62" s="234">
        <f>+FACTURACION!Z62</f>
        <v>2835</v>
      </c>
      <c r="G62" s="188">
        <v>0</v>
      </c>
      <c r="H62" s="188">
        <f t="shared" si="7"/>
        <v>4035</v>
      </c>
      <c r="I62" s="236">
        <v>0</v>
      </c>
      <c r="J62" s="236">
        <v>354.63</v>
      </c>
      <c r="K62" s="236">
        <v>44.35</v>
      </c>
      <c r="L62" s="188">
        <f>+FACTURACION!AK62</f>
        <v>0</v>
      </c>
      <c r="M62" s="236">
        <v>0.02</v>
      </c>
      <c r="N62" s="188">
        <f>+FACTURACION!AE62</f>
        <v>0</v>
      </c>
      <c r="O62" s="236">
        <v>45.13</v>
      </c>
      <c r="P62" s="188">
        <f>+FACTURACION!AJ62</f>
        <v>0</v>
      </c>
      <c r="Q62" s="188">
        <f t="shared" si="8"/>
        <v>444.13</v>
      </c>
      <c r="R62" s="188">
        <f t="shared" si="9"/>
        <v>3590.87</v>
      </c>
    </row>
    <row r="63" spans="1:18">
      <c r="A63" s="178" t="s">
        <v>115</v>
      </c>
      <c r="B63" s="178" t="str">
        <f t="shared" si="6"/>
        <v>SI</v>
      </c>
      <c r="C63" s="2" t="s">
        <v>114</v>
      </c>
      <c r="D63" s="1" t="s">
        <v>115</v>
      </c>
      <c r="E63" s="12">
        <v>1200</v>
      </c>
      <c r="F63" s="234">
        <f>+FACTURACION!Z63</f>
        <v>3300</v>
      </c>
      <c r="G63" s="188">
        <v>0</v>
      </c>
      <c r="H63" s="188">
        <f t="shared" si="7"/>
        <v>4500</v>
      </c>
      <c r="I63" s="236">
        <v>0</v>
      </c>
      <c r="J63" s="236">
        <v>433.94</v>
      </c>
      <c r="K63" s="236">
        <v>69.86</v>
      </c>
      <c r="L63" s="188">
        <f>+FACTURACION!AK63</f>
        <v>0</v>
      </c>
      <c r="M63" s="236">
        <v>0</v>
      </c>
      <c r="N63" s="188">
        <f>+FACTURACION!AE63</f>
        <v>0</v>
      </c>
      <c r="O63" s="236">
        <v>45.13</v>
      </c>
      <c r="P63" s="188">
        <f>+FACTURACION!AJ63</f>
        <v>0</v>
      </c>
      <c r="Q63" s="188">
        <f t="shared" si="8"/>
        <v>548.93000000000006</v>
      </c>
      <c r="R63" s="188">
        <f t="shared" si="9"/>
        <v>3951.0699999999997</v>
      </c>
    </row>
    <row r="64" spans="1:18">
      <c r="A64" s="168" t="s">
        <v>117</v>
      </c>
      <c r="B64" s="178" t="str">
        <f t="shared" si="6"/>
        <v>SI</v>
      </c>
      <c r="C64" s="2" t="s">
        <v>116</v>
      </c>
      <c r="D64" s="1" t="s">
        <v>117</v>
      </c>
      <c r="E64" s="12">
        <v>1200</v>
      </c>
      <c r="F64" s="234">
        <f>+FACTURACION!Z64</f>
        <v>3395.43</v>
      </c>
      <c r="G64" s="188">
        <v>0</v>
      </c>
      <c r="H64" s="188">
        <f t="shared" si="7"/>
        <v>4595.43</v>
      </c>
      <c r="I64" s="236">
        <v>0</v>
      </c>
      <c r="J64" s="236">
        <v>451.04</v>
      </c>
      <c r="K64" s="236">
        <v>29.79</v>
      </c>
      <c r="L64" s="188">
        <f>+FACTURACION!AK64</f>
        <v>0</v>
      </c>
      <c r="M64" s="236">
        <v>0</v>
      </c>
      <c r="N64" s="188">
        <f>+FACTURACION!AE64</f>
        <v>0</v>
      </c>
      <c r="O64" s="236">
        <v>45.13</v>
      </c>
      <c r="P64" s="188">
        <f>+FACTURACION!AJ64</f>
        <v>0</v>
      </c>
      <c r="Q64" s="188">
        <f t="shared" si="8"/>
        <v>525.96</v>
      </c>
      <c r="R64" s="188">
        <f t="shared" si="9"/>
        <v>4069.4700000000003</v>
      </c>
    </row>
    <row r="65" spans="1:18">
      <c r="A65" s="178" t="s">
        <v>119</v>
      </c>
      <c r="B65" s="178" t="str">
        <f t="shared" si="6"/>
        <v>SI</v>
      </c>
      <c r="C65" s="2" t="s">
        <v>118</v>
      </c>
      <c r="D65" s="1" t="s">
        <v>119</v>
      </c>
      <c r="E65" s="12">
        <v>1200</v>
      </c>
      <c r="F65" s="234">
        <f>+FACTURACION!Z65</f>
        <v>1713.6</v>
      </c>
      <c r="G65" s="188">
        <v>0</v>
      </c>
      <c r="H65" s="188">
        <f t="shared" si="7"/>
        <v>2913.6</v>
      </c>
      <c r="I65" s="236">
        <v>0</v>
      </c>
      <c r="J65" s="236">
        <v>67.58</v>
      </c>
      <c r="K65" s="236">
        <v>65.739999999999995</v>
      </c>
      <c r="L65" s="188">
        <f>+FACTURACION!AK65</f>
        <v>0</v>
      </c>
      <c r="M65" s="236">
        <v>0.08</v>
      </c>
      <c r="N65" s="188">
        <f>+FACTURACION!AE65</f>
        <v>0</v>
      </c>
      <c r="O65" s="236">
        <v>45.13</v>
      </c>
      <c r="P65" s="188">
        <f>+FACTURACION!AJ65</f>
        <v>0</v>
      </c>
      <c r="Q65" s="188">
        <f t="shared" si="8"/>
        <v>178.53</v>
      </c>
      <c r="R65" s="188">
        <f t="shared" si="9"/>
        <v>2735.0699999999997</v>
      </c>
    </row>
    <row r="66" spans="1:18">
      <c r="A66" s="178" t="s">
        <v>121</v>
      </c>
      <c r="B66" s="178" t="str">
        <f t="shared" si="6"/>
        <v>SI</v>
      </c>
      <c r="C66" s="2" t="s">
        <v>120</v>
      </c>
      <c r="D66" s="1" t="s">
        <v>121</v>
      </c>
      <c r="E66" s="12">
        <v>1200</v>
      </c>
      <c r="F66" s="234">
        <f>+FACTURACION!Z66</f>
        <v>4849.25</v>
      </c>
      <c r="G66" s="188">
        <v>0</v>
      </c>
      <c r="H66" s="188">
        <f t="shared" si="7"/>
        <v>6049.25</v>
      </c>
      <c r="I66" s="236">
        <v>0</v>
      </c>
      <c r="J66" s="236">
        <v>744.86</v>
      </c>
      <c r="K66" s="236">
        <v>67.09</v>
      </c>
      <c r="L66" s="188">
        <f>+FACTURACION!AK66</f>
        <v>0</v>
      </c>
      <c r="M66" s="236">
        <v>0.1</v>
      </c>
      <c r="N66" s="188">
        <f>+FACTURACION!AE66</f>
        <v>0</v>
      </c>
      <c r="O66" s="236">
        <v>45.13</v>
      </c>
      <c r="P66" s="188">
        <f>+FACTURACION!AJ66</f>
        <v>0</v>
      </c>
      <c r="Q66" s="188">
        <f t="shared" si="8"/>
        <v>857.18000000000006</v>
      </c>
      <c r="R66" s="188">
        <f t="shared" si="9"/>
        <v>5192.07</v>
      </c>
    </row>
    <row r="67" spans="1:18">
      <c r="A67" s="178" t="s">
        <v>123</v>
      </c>
      <c r="B67" s="178" t="str">
        <f t="shared" si="6"/>
        <v>SI</v>
      </c>
      <c r="C67" s="2" t="s">
        <v>122</v>
      </c>
      <c r="D67" s="1" t="s">
        <v>123</v>
      </c>
      <c r="E67" s="12">
        <v>1200</v>
      </c>
      <c r="F67" s="234">
        <f>+FACTURACION!Z67</f>
        <v>4777.5</v>
      </c>
      <c r="G67" s="188">
        <v>0</v>
      </c>
      <c r="H67" s="188">
        <f t="shared" si="7"/>
        <v>5977.5</v>
      </c>
      <c r="I67" s="236">
        <v>0</v>
      </c>
      <c r="J67" s="236">
        <v>729.53</v>
      </c>
      <c r="K67" s="236">
        <v>92.6</v>
      </c>
      <c r="L67" s="188">
        <f>+FACTURACION!AK67</f>
        <v>0</v>
      </c>
      <c r="M67" s="237">
        <v>-0.03</v>
      </c>
      <c r="N67" s="188">
        <f>+FACTURACION!AE67</f>
        <v>0</v>
      </c>
      <c r="O67" s="236">
        <v>45.13</v>
      </c>
      <c r="P67" s="188">
        <f>+FACTURACION!AJ67</f>
        <v>0</v>
      </c>
      <c r="Q67" s="188">
        <f t="shared" si="8"/>
        <v>867.23</v>
      </c>
      <c r="R67" s="188">
        <f t="shared" si="9"/>
        <v>5110.2700000000004</v>
      </c>
    </row>
    <row r="68" spans="1:18">
      <c r="A68" s="178" t="s">
        <v>125</v>
      </c>
      <c r="B68" s="178" t="str">
        <f t="shared" si="6"/>
        <v>SI</v>
      </c>
      <c r="C68" s="2" t="s">
        <v>124</v>
      </c>
      <c r="D68" s="1" t="s">
        <v>125</v>
      </c>
      <c r="E68" s="12">
        <v>1200</v>
      </c>
      <c r="F68" s="234">
        <f>+FACTURACION!Z68</f>
        <v>750</v>
      </c>
      <c r="G68" s="188">
        <v>0</v>
      </c>
      <c r="H68" s="188">
        <f t="shared" si="7"/>
        <v>1950</v>
      </c>
      <c r="I68" s="237">
        <v>-74.88</v>
      </c>
      <c r="J68" s="236">
        <v>0</v>
      </c>
      <c r="K68" s="236">
        <v>53.27</v>
      </c>
      <c r="L68" s="188">
        <f>+FACTURACION!AK68</f>
        <v>0</v>
      </c>
      <c r="M68" s="236">
        <v>0.01</v>
      </c>
      <c r="N68" s="188">
        <f>+FACTURACION!AE68</f>
        <v>0</v>
      </c>
      <c r="O68" s="236">
        <v>45.13</v>
      </c>
      <c r="P68" s="188">
        <f>+FACTURACION!AJ68</f>
        <v>0</v>
      </c>
      <c r="Q68" s="188">
        <f t="shared" si="8"/>
        <v>23.530000000000012</v>
      </c>
      <c r="R68" s="188">
        <f t="shared" si="9"/>
        <v>1926.47</v>
      </c>
    </row>
    <row r="69" spans="1:18">
      <c r="C69" s="179"/>
      <c r="D69" s="178"/>
      <c r="E69" s="188"/>
      <c r="F69" s="234">
        <f>+FACTURACION!Z69</f>
        <v>0</v>
      </c>
      <c r="G69" s="188"/>
      <c r="H69" s="188"/>
      <c r="I69" s="237"/>
      <c r="J69" s="236"/>
      <c r="K69" s="236"/>
      <c r="L69" s="188">
        <f>+FACTURACION!AK69</f>
        <v>0</v>
      </c>
      <c r="M69" s="236"/>
      <c r="N69" s="188">
        <f>+FACTURACION!AE69</f>
        <v>0</v>
      </c>
      <c r="O69" s="236">
        <v>0</v>
      </c>
      <c r="P69" s="188">
        <f>+FACTURACION!AJ69</f>
        <v>0</v>
      </c>
      <c r="Q69" s="188"/>
      <c r="R69" s="188"/>
    </row>
    <row r="70" spans="1:18">
      <c r="A70" s="178" t="s">
        <v>127</v>
      </c>
      <c r="B70" s="178" t="str">
        <f t="shared" si="6"/>
        <v>SI</v>
      </c>
      <c r="C70" s="2" t="s">
        <v>126</v>
      </c>
      <c r="D70" s="1" t="s">
        <v>127</v>
      </c>
      <c r="E70" s="12">
        <v>1750.05</v>
      </c>
      <c r="F70" s="234">
        <f>+FACTURACION!Z70</f>
        <v>8654.58</v>
      </c>
      <c r="G70" s="188">
        <v>0</v>
      </c>
      <c r="H70" s="188">
        <f>SUM(E70:G70)</f>
        <v>10404.629999999999</v>
      </c>
      <c r="I70" s="236">
        <v>0</v>
      </c>
      <c r="J70" s="236">
        <v>1678.54</v>
      </c>
      <c r="K70" s="236">
        <v>122.19</v>
      </c>
      <c r="L70" s="236">
        <f>+FACTURACION!AK70</f>
        <v>4500</v>
      </c>
      <c r="M70" s="236">
        <v>0.1</v>
      </c>
      <c r="N70" s="188">
        <f>+FACTURACION!AE70</f>
        <v>0</v>
      </c>
      <c r="O70" s="236">
        <v>0</v>
      </c>
      <c r="P70" s="188">
        <f>+FACTURACION!AJ70</f>
        <v>0</v>
      </c>
      <c r="Q70" s="188">
        <f>SUM(I70:P70)</f>
        <v>6300.83</v>
      </c>
      <c r="R70" s="188">
        <f>+H70-Q70</f>
        <v>4103.7999999999993</v>
      </c>
    </row>
    <row r="71" spans="1:18">
      <c r="F71" s="234">
        <f>+FACTURACION!Z71</f>
        <v>0</v>
      </c>
      <c r="I71" s="236"/>
      <c r="J71" s="236"/>
      <c r="K71" s="236"/>
      <c r="L71" s="188">
        <f>+FACTURACION!AK71</f>
        <v>0</v>
      </c>
      <c r="M71" s="236"/>
      <c r="N71" s="188">
        <f>+FACTURACION!AE71</f>
        <v>0</v>
      </c>
      <c r="O71" s="236">
        <v>0</v>
      </c>
      <c r="P71" s="188">
        <f>+FACTURACION!AJ71</f>
        <v>0</v>
      </c>
    </row>
    <row r="72" spans="1:18">
      <c r="A72" s="178" t="s">
        <v>129</v>
      </c>
      <c r="B72" s="178" t="str">
        <f t="shared" si="6"/>
        <v>SI</v>
      </c>
      <c r="C72" s="2" t="s">
        <v>128</v>
      </c>
      <c r="D72" s="1" t="s">
        <v>129</v>
      </c>
      <c r="E72" s="12">
        <v>1200</v>
      </c>
      <c r="F72" s="234">
        <f>+FACTURACION!Z72</f>
        <v>2508</v>
      </c>
      <c r="G72" s="188">
        <v>0</v>
      </c>
      <c r="H72" s="188">
        <f t="shared" si="7"/>
        <v>3708</v>
      </c>
      <c r="I72" s="236">
        <v>0</v>
      </c>
      <c r="J72" s="236">
        <v>302.31</v>
      </c>
      <c r="K72" s="236">
        <v>59.01</v>
      </c>
      <c r="L72" s="188">
        <f>+FACTURACION!AK72</f>
        <v>0</v>
      </c>
      <c r="M72" s="236">
        <v>0.08</v>
      </c>
      <c r="N72" s="188">
        <f>+FACTURACION!AE72</f>
        <v>0</v>
      </c>
      <c r="O72" s="236">
        <v>45.13</v>
      </c>
      <c r="P72" s="188">
        <f>+FACTURACION!AJ72</f>
        <v>0</v>
      </c>
      <c r="Q72" s="188">
        <f t="shared" si="8"/>
        <v>406.53</v>
      </c>
      <c r="R72" s="188">
        <f t="shared" si="9"/>
        <v>3301.4700000000003</v>
      </c>
    </row>
    <row r="73" spans="1:18" s="7" customFormat="1">
      <c r="A73" s="178" t="s">
        <v>131</v>
      </c>
      <c r="B73" s="178" t="str">
        <f t="shared" si="6"/>
        <v>SI</v>
      </c>
      <c r="C73" s="2" t="s">
        <v>130</v>
      </c>
      <c r="D73" s="1" t="s">
        <v>131</v>
      </c>
      <c r="E73" s="12">
        <v>1200</v>
      </c>
      <c r="F73" s="234">
        <f>+FACTURACION!Z73</f>
        <v>2760.24</v>
      </c>
      <c r="G73" s="188">
        <v>0</v>
      </c>
      <c r="H73" s="188">
        <f t="shared" si="7"/>
        <v>3960.24</v>
      </c>
      <c r="I73" s="236">
        <v>0</v>
      </c>
      <c r="J73" s="236">
        <v>342.67</v>
      </c>
      <c r="K73" s="236">
        <v>61.61</v>
      </c>
      <c r="L73" s="188">
        <f>+FACTURACION!AK73</f>
        <v>0</v>
      </c>
      <c r="M73" s="237">
        <v>-0.04</v>
      </c>
      <c r="N73" s="188">
        <f>+FACTURACION!AE73</f>
        <v>0</v>
      </c>
      <c r="O73" s="236">
        <v>45.13</v>
      </c>
      <c r="P73" s="188">
        <f>+FACTURACION!AJ73</f>
        <v>0</v>
      </c>
      <c r="Q73" s="188">
        <f t="shared" si="8"/>
        <v>449.37</v>
      </c>
      <c r="R73" s="188">
        <f t="shared" si="9"/>
        <v>3510.87</v>
      </c>
    </row>
    <row r="74" spans="1:18">
      <c r="A74" s="178" t="s">
        <v>294</v>
      </c>
      <c r="B74" s="178" t="str">
        <f t="shared" si="6"/>
        <v>NO</v>
      </c>
      <c r="C74" s="2" t="s">
        <v>132</v>
      </c>
      <c r="D74" s="233" t="s">
        <v>326</v>
      </c>
      <c r="E74" s="231">
        <v>2000</v>
      </c>
      <c r="F74" s="234">
        <f>+FACTURACION!Z74</f>
        <v>14672.25</v>
      </c>
      <c r="G74" s="231">
        <v>0</v>
      </c>
      <c r="H74" s="188">
        <f t="shared" si="7"/>
        <v>16672.25</v>
      </c>
      <c r="I74" s="236">
        <v>0</v>
      </c>
      <c r="J74" s="236">
        <v>3186.31</v>
      </c>
      <c r="K74" s="236">
        <v>29.94</v>
      </c>
      <c r="L74" s="188">
        <f>+FACTURACION!AK74</f>
        <v>350</v>
      </c>
      <c r="M74" s="237">
        <v>-0.05</v>
      </c>
      <c r="N74" s="188">
        <f>+FACTURACION!AE74</f>
        <v>0</v>
      </c>
      <c r="O74" s="236">
        <v>45.13</v>
      </c>
      <c r="P74" s="188">
        <f>+FACTURACION!AJ74</f>
        <v>0</v>
      </c>
      <c r="Q74" s="188">
        <f t="shared" si="8"/>
        <v>3611.33</v>
      </c>
      <c r="R74" s="188">
        <f t="shared" si="9"/>
        <v>13060.92</v>
      </c>
    </row>
    <row r="75" spans="1:18">
      <c r="A75" s="178" t="s">
        <v>134</v>
      </c>
      <c r="B75" s="178" t="str">
        <f t="shared" si="6"/>
        <v>SI</v>
      </c>
      <c r="C75" s="2" t="s">
        <v>133</v>
      </c>
      <c r="D75" s="1" t="s">
        <v>134</v>
      </c>
      <c r="E75" s="12">
        <v>1200</v>
      </c>
      <c r="F75" s="234">
        <f>+FACTURACION!Z75</f>
        <v>4070.14</v>
      </c>
      <c r="G75" s="188">
        <v>0</v>
      </c>
      <c r="H75" s="188">
        <f t="shared" si="7"/>
        <v>5270.1399999999994</v>
      </c>
      <c r="I75" s="236">
        <v>0</v>
      </c>
      <c r="J75" s="236">
        <v>578.44000000000005</v>
      </c>
      <c r="K75" s="236">
        <v>29.79</v>
      </c>
      <c r="L75" s="188">
        <f>+FACTURACION!AK75</f>
        <v>0</v>
      </c>
      <c r="M75" s="237">
        <v>-0.09</v>
      </c>
      <c r="N75" s="188">
        <f>+FACTURACION!AE75</f>
        <v>0</v>
      </c>
      <c r="O75" s="236">
        <v>45.13</v>
      </c>
      <c r="P75" s="188">
        <f>+FACTURACION!AJ75</f>
        <v>0</v>
      </c>
      <c r="Q75" s="188">
        <f t="shared" si="8"/>
        <v>653.27</v>
      </c>
      <c r="R75" s="188">
        <f t="shared" si="9"/>
        <v>4616.869999999999</v>
      </c>
    </row>
    <row r="76" spans="1:18" s="7" customFormat="1">
      <c r="A76" s="178" t="s">
        <v>136</v>
      </c>
      <c r="B76" s="178" t="str">
        <f t="shared" si="6"/>
        <v>SI</v>
      </c>
      <c r="C76" s="2" t="s">
        <v>135</v>
      </c>
      <c r="D76" s="1" t="s">
        <v>136</v>
      </c>
      <c r="E76" s="12">
        <v>1200</v>
      </c>
      <c r="F76" s="234">
        <f>+FACTURACION!Z76</f>
        <v>1046.76</v>
      </c>
      <c r="G76" s="188">
        <v>0</v>
      </c>
      <c r="H76" s="188">
        <f>SUM(E76:G76)</f>
        <v>2246.7600000000002</v>
      </c>
      <c r="I76" s="237">
        <v>-34.380000000000003</v>
      </c>
      <c r="J76" s="236">
        <v>0</v>
      </c>
      <c r="K76" s="236">
        <v>51.76</v>
      </c>
      <c r="L76" s="188">
        <f>+FACTURACION!AK76</f>
        <v>301</v>
      </c>
      <c r="M76" s="237">
        <v>-0.02</v>
      </c>
      <c r="N76" s="188">
        <f>+FACTURACION!AE76</f>
        <v>0</v>
      </c>
      <c r="O76" s="236">
        <v>45.13</v>
      </c>
      <c r="P76" s="188">
        <f>+FACTURACION!AJ76</f>
        <v>0</v>
      </c>
      <c r="Q76" s="188">
        <f t="shared" si="8"/>
        <v>363.49</v>
      </c>
      <c r="R76" s="188">
        <f t="shared" si="9"/>
        <v>1883.2700000000002</v>
      </c>
    </row>
    <row r="77" spans="1:18">
      <c r="A77" s="180"/>
      <c r="C77" s="14" t="s">
        <v>108</v>
      </c>
      <c r="D77" s="7"/>
      <c r="E77" s="7" t="s">
        <v>109</v>
      </c>
      <c r="F77" s="7" t="s">
        <v>109</v>
      </c>
      <c r="G77" s="180" t="s">
        <v>109</v>
      </c>
      <c r="H77" s="7" t="s">
        <v>109</v>
      </c>
      <c r="I77" s="7" t="s">
        <v>109</v>
      </c>
      <c r="J77" s="7" t="s">
        <v>109</v>
      </c>
      <c r="K77" s="7" t="s">
        <v>109</v>
      </c>
      <c r="L77" s="7" t="s">
        <v>109</v>
      </c>
      <c r="M77" s="7" t="s">
        <v>109</v>
      </c>
      <c r="N77" s="7" t="s">
        <v>109</v>
      </c>
      <c r="O77" s="180" t="s">
        <v>109</v>
      </c>
      <c r="P77" s="7" t="s">
        <v>109</v>
      </c>
      <c r="Q77" s="7" t="s">
        <v>109</v>
      </c>
      <c r="R77" s="7" t="s">
        <v>109</v>
      </c>
    </row>
    <row r="78" spans="1:18">
      <c r="E78" s="16">
        <f>SUM(E61:E77)</f>
        <v>18150.05</v>
      </c>
      <c r="F78" s="16">
        <f t="shared" ref="F78:R78" si="10">SUM(F61:F77)</f>
        <v>56444.51</v>
      </c>
      <c r="G78" s="190">
        <f t="shared" si="10"/>
        <v>0</v>
      </c>
      <c r="H78" s="16">
        <f t="shared" si="10"/>
        <v>74594.559999999998</v>
      </c>
      <c r="I78" s="16">
        <f t="shared" si="10"/>
        <v>-136.56</v>
      </c>
      <c r="J78" s="16">
        <f t="shared" si="10"/>
        <v>8869.85</v>
      </c>
      <c r="K78" s="16">
        <f t="shared" si="10"/>
        <v>806.79000000000008</v>
      </c>
      <c r="L78" s="16">
        <f t="shared" si="10"/>
        <v>5151</v>
      </c>
      <c r="M78" s="16">
        <f t="shared" si="10"/>
        <v>0.23</v>
      </c>
      <c r="N78" s="16">
        <f t="shared" si="10"/>
        <v>0</v>
      </c>
      <c r="O78" s="190">
        <f t="shared" ref="O78" si="11">SUM(O61:O77)</f>
        <v>586.69000000000005</v>
      </c>
      <c r="P78" s="16">
        <f t="shared" si="10"/>
        <v>0</v>
      </c>
      <c r="Q78" s="16">
        <f t="shared" si="10"/>
        <v>15278.000000000002</v>
      </c>
      <c r="R78" s="16">
        <f t="shared" si="10"/>
        <v>59316.560000000005</v>
      </c>
    </row>
    <row r="80" spans="1:18">
      <c r="A80" s="180"/>
      <c r="C80" s="13"/>
      <c r="D80" s="7"/>
      <c r="E80" s="7" t="s">
        <v>137</v>
      </c>
      <c r="F80" s="7" t="s">
        <v>137</v>
      </c>
      <c r="G80" s="180" t="s">
        <v>137</v>
      </c>
      <c r="H80" s="7" t="s">
        <v>137</v>
      </c>
      <c r="I80" s="7" t="s">
        <v>137</v>
      </c>
      <c r="J80" s="7" t="s">
        <v>137</v>
      </c>
      <c r="K80" s="7" t="s">
        <v>137</v>
      </c>
      <c r="L80" s="7" t="s">
        <v>137</v>
      </c>
      <c r="M80" s="7" t="s">
        <v>137</v>
      </c>
      <c r="N80" s="7" t="s">
        <v>137</v>
      </c>
      <c r="O80" s="180" t="s">
        <v>137</v>
      </c>
      <c r="P80" s="7" t="s">
        <v>137</v>
      </c>
      <c r="Q80" s="7" t="s">
        <v>137</v>
      </c>
      <c r="R80" s="7" t="s">
        <v>137</v>
      </c>
    </row>
    <row r="81" spans="1:18">
      <c r="A81" s="178" t="s">
        <v>139</v>
      </c>
      <c r="C81" s="14" t="s">
        <v>138</v>
      </c>
      <c r="D81" s="1" t="s">
        <v>139</v>
      </c>
      <c r="E81" s="16">
        <f>+E78+E55</f>
        <v>213153.84999999998</v>
      </c>
      <c r="F81" s="190">
        <f t="shared" ref="F81:R81" si="12">+F78+F55</f>
        <v>56444.51</v>
      </c>
      <c r="G81" s="190">
        <f t="shared" si="12"/>
        <v>332.21999999999997</v>
      </c>
      <c r="H81" s="190">
        <f t="shared" si="12"/>
        <v>269930.57999999996</v>
      </c>
      <c r="I81" s="190">
        <f t="shared" si="12"/>
        <v>-435.64000000000004</v>
      </c>
      <c r="J81" s="190">
        <f t="shared" si="12"/>
        <v>30120.21</v>
      </c>
      <c r="K81" s="190">
        <f t="shared" si="12"/>
        <v>5997.2599999999993</v>
      </c>
      <c r="L81" s="190">
        <f t="shared" si="12"/>
        <v>22419.129999999997</v>
      </c>
      <c r="M81" s="190">
        <f t="shared" si="12"/>
        <v>-0.81</v>
      </c>
      <c r="N81" s="190">
        <f t="shared" si="12"/>
        <v>870.58</v>
      </c>
      <c r="O81" s="190">
        <f t="shared" si="12"/>
        <v>2391.8900000000021</v>
      </c>
      <c r="P81" s="190">
        <f t="shared" si="12"/>
        <v>2005</v>
      </c>
      <c r="Q81" s="190">
        <f t="shared" si="12"/>
        <v>63367.620000000024</v>
      </c>
      <c r="R81" s="190">
        <f t="shared" si="12"/>
        <v>206562.96000000002</v>
      </c>
    </row>
    <row r="83" spans="1:18">
      <c r="E83" s="1" t="s">
        <v>139</v>
      </c>
      <c r="F83" s="1" t="s">
        <v>139</v>
      </c>
      <c r="H83" s="1" t="s">
        <v>139</v>
      </c>
      <c r="I83" s="1" t="s">
        <v>139</v>
      </c>
      <c r="J83" s="1" t="s">
        <v>139</v>
      </c>
      <c r="K83" s="1" t="s">
        <v>139</v>
      </c>
      <c r="L83" s="1" t="s">
        <v>139</v>
      </c>
      <c r="M83" s="1" t="s">
        <v>139</v>
      </c>
      <c r="N83" s="1" t="s">
        <v>139</v>
      </c>
      <c r="P83" s="1" t="s">
        <v>139</v>
      </c>
      <c r="Q83" s="1" t="s">
        <v>139</v>
      </c>
      <c r="R83" s="1" t="s">
        <v>139</v>
      </c>
    </row>
    <row r="84" spans="1:18">
      <c r="C84" s="2" t="s">
        <v>139</v>
      </c>
      <c r="D84" s="1" t="s">
        <v>139</v>
      </c>
      <c r="E84" s="15"/>
      <c r="F84" s="15"/>
      <c r="G84" s="189"/>
      <c r="H84" s="15"/>
      <c r="I84" s="15"/>
      <c r="J84" s="15"/>
      <c r="K84" s="15"/>
      <c r="L84" s="15"/>
      <c r="M84" s="15"/>
      <c r="N84" s="15"/>
      <c r="O84" s="189"/>
      <c r="P84" s="15"/>
      <c r="Q84" s="15"/>
      <c r="R84" s="15"/>
    </row>
    <row r="89" spans="1:18">
      <c r="A89" s="178" t="s">
        <v>50</v>
      </c>
    </row>
  </sheetData>
  <mergeCells count="1">
    <mergeCell ref="D1:E1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5"/>
  <sheetViews>
    <sheetView topLeftCell="C1" workbookViewId="0">
      <pane xSplit="2" ySplit="11" topLeftCell="E12" activePane="bottomRight" state="frozen"/>
      <selection activeCell="C1" sqref="C1"/>
      <selection pane="topRight" activeCell="E1" sqref="E1"/>
      <selection pane="bottomLeft" activeCell="C12" sqref="C12"/>
      <selection pane="bottomRight" activeCell="I12" sqref="I12"/>
    </sheetView>
  </sheetViews>
  <sheetFormatPr baseColWidth="10" defaultRowHeight="15"/>
  <cols>
    <col min="1" max="1" width="14" style="178" hidden="1" customWidth="1"/>
    <col min="2" max="2" width="11.42578125" style="176" hidden="1" customWidth="1"/>
    <col min="4" max="4" width="25" customWidth="1"/>
    <col min="5" max="5" width="16.85546875" customWidth="1"/>
    <col min="7" max="10" width="12.7109375" customWidth="1"/>
    <col min="11" max="11" width="17.28515625" customWidth="1"/>
  </cols>
  <sheetData>
    <row r="1" spans="1:11">
      <c r="A1" s="186" t="s">
        <v>139</v>
      </c>
      <c r="C1" s="199" t="s">
        <v>0</v>
      </c>
      <c r="D1" s="186" t="s">
        <v>139</v>
      </c>
      <c r="E1" s="185"/>
      <c r="F1" s="176"/>
      <c r="G1" s="176"/>
      <c r="H1" s="176"/>
      <c r="I1" s="176"/>
      <c r="J1" s="176"/>
      <c r="K1" s="176"/>
    </row>
    <row r="2" spans="1:11" ht="18">
      <c r="A2" s="229" t="s">
        <v>2</v>
      </c>
      <c r="C2" s="200" t="s">
        <v>1</v>
      </c>
      <c r="D2" s="196" t="s">
        <v>308</v>
      </c>
      <c r="E2" s="194"/>
      <c r="F2" s="176"/>
      <c r="G2" s="176"/>
      <c r="H2" s="176"/>
      <c r="I2" s="176"/>
      <c r="J2" s="176"/>
      <c r="K2" s="176"/>
    </row>
    <row r="3" spans="1:11" ht="15.75">
      <c r="A3" s="228" t="s">
        <v>3</v>
      </c>
      <c r="C3" s="176"/>
      <c r="D3" s="197" t="s">
        <v>3</v>
      </c>
      <c r="E3" s="185"/>
      <c r="F3" s="180"/>
      <c r="G3" s="176"/>
      <c r="H3" s="176"/>
      <c r="I3" s="176"/>
      <c r="J3" s="176"/>
      <c r="K3" s="176"/>
    </row>
    <row r="4" spans="1:11">
      <c r="A4" s="227" t="s">
        <v>321</v>
      </c>
      <c r="C4" s="176"/>
      <c r="D4" s="198" t="s">
        <v>309</v>
      </c>
      <c r="E4" s="185"/>
      <c r="F4" s="180"/>
      <c r="G4" s="176"/>
      <c r="H4" s="176"/>
      <c r="I4" s="176"/>
      <c r="J4" s="176"/>
      <c r="K4" s="176"/>
    </row>
    <row r="5" spans="1:11">
      <c r="A5" s="187" t="s">
        <v>5</v>
      </c>
      <c r="C5" s="176"/>
      <c r="D5" s="187"/>
      <c r="E5" s="176"/>
      <c r="F5" s="176"/>
      <c r="G5" s="176"/>
      <c r="H5" s="176"/>
      <c r="I5" s="176"/>
      <c r="J5" s="176"/>
      <c r="K5" s="176"/>
    </row>
    <row r="6" spans="1:11">
      <c r="A6" s="187" t="s">
        <v>6</v>
      </c>
      <c r="C6" s="176"/>
      <c r="D6" s="187" t="s">
        <v>6</v>
      </c>
      <c r="E6" s="176"/>
      <c r="F6" s="176"/>
      <c r="G6" s="176"/>
      <c r="H6" s="176"/>
      <c r="I6" s="176"/>
      <c r="J6" s="176"/>
      <c r="K6" s="176"/>
    </row>
    <row r="7" spans="1:11">
      <c r="C7" s="176"/>
      <c r="D7" s="176"/>
      <c r="E7" s="176"/>
      <c r="F7" s="176"/>
      <c r="G7" s="176"/>
      <c r="H7" s="178">
        <v>2</v>
      </c>
      <c r="I7" s="178"/>
      <c r="J7" s="176"/>
      <c r="K7" s="176"/>
    </row>
    <row r="8" spans="1:11" ht="34.5" thickBot="1">
      <c r="A8" s="9" t="s">
        <v>8</v>
      </c>
      <c r="C8" s="184" t="s">
        <v>7</v>
      </c>
      <c r="D8" s="191" t="s">
        <v>8</v>
      </c>
      <c r="E8" s="191" t="s">
        <v>310</v>
      </c>
      <c r="F8" s="191" t="s">
        <v>310</v>
      </c>
      <c r="G8" s="192" t="s">
        <v>11</v>
      </c>
      <c r="H8" s="191" t="s">
        <v>311</v>
      </c>
      <c r="I8" s="191" t="s">
        <v>322</v>
      </c>
      <c r="J8" s="192" t="s">
        <v>19</v>
      </c>
      <c r="K8" s="193" t="s">
        <v>20</v>
      </c>
    </row>
    <row r="9" spans="1:11" ht="15.75" thickTop="1">
      <c r="C9" s="182"/>
      <c r="D9" s="176"/>
      <c r="E9" s="176"/>
      <c r="F9" s="176"/>
      <c r="G9" s="176"/>
      <c r="H9" s="176"/>
      <c r="I9" s="176"/>
      <c r="J9" s="176"/>
      <c r="K9" s="176"/>
    </row>
    <row r="11" spans="1:11">
      <c r="C11" s="181" t="s">
        <v>22</v>
      </c>
      <c r="D11" s="178"/>
      <c r="E11" s="176"/>
      <c r="F11" s="176"/>
      <c r="G11" s="176"/>
      <c r="H11" s="176"/>
      <c r="I11" s="176"/>
      <c r="J11" s="176"/>
      <c r="K11" s="176"/>
    </row>
    <row r="12" spans="1:11">
      <c r="A12" s="178" t="s">
        <v>24</v>
      </c>
      <c r="B12" s="178" t="str">
        <f t="shared" ref="B12:B53" si="0">IF(A12=D12,"SI","NO")</f>
        <v>SI</v>
      </c>
      <c r="C12" s="179" t="s">
        <v>23</v>
      </c>
      <c r="D12" s="178" t="s">
        <v>24</v>
      </c>
      <c r="E12" s="201">
        <f>+FACTURACION!E12</f>
        <v>12740.87</v>
      </c>
      <c r="F12" s="201">
        <v>0</v>
      </c>
      <c r="G12" s="201">
        <f>SUM(E12:F12)</f>
        <v>12740.87</v>
      </c>
      <c r="H12" s="201">
        <f>+G12*0.1</f>
        <v>1274.0870000000002</v>
      </c>
      <c r="I12" s="201"/>
      <c r="J12" s="201">
        <f>SUM(H12:I12)</f>
        <v>1274.0870000000002</v>
      </c>
      <c r="K12" s="201">
        <f>+G12-J12</f>
        <v>11466.783000000001</v>
      </c>
    </row>
    <row r="13" spans="1:11">
      <c r="A13" s="178" t="s">
        <v>26</v>
      </c>
      <c r="B13" s="178" t="str">
        <f t="shared" si="0"/>
        <v>SI</v>
      </c>
      <c r="C13" s="179" t="s">
        <v>25</v>
      </c>
      <c r="D13" s="178" t="s">
        <v>26</v>
      </c>
      <c r="E13" s="201">
        <f>+FACTURACION!E13</f>
        <v>0</v>
      </c>
      <c r="F13" s="201">
        <v>0</v>
      </c>
      <c r="G13" s="201">
        <f t="shared" ref="G13:G51" si="1">SUM(E13:F13)</f>
        <v>0</v>
      </c>
      <c r="H13" s="201">
        <f t="shared" ref="H13:H53" si="2">+G13*0.1</f>
        <v>0</v>
      </c>
      <c r="I13" s="201">
        <v>0</v>
      </c>
      <c r="J13" s="201">
        <f t="shared" ref="J13:J51" si="3">SUM(H13:I13)</f>
        <v>0</v>
      </c>
      <c r="K13" s="201">
        <f t="shared" ref="K13:K51" si="4">+G13-J13</f>
        <v>0</v>
      </c>
    </row>
    <row r="14" spans="1:11">
      <c r="A14" s="178" t="s">
        <v>28</v>
      </c>
      <c r="B14" s="178" t="str">
        <f t="shared" si="0"/>
        <v>SI</v>
      </c>
      <c r="C14" s="179" t="s">
        <v>27</v>
      </c>
      <c r="D14" s="178" t="s">
        <v>28</v>
      </c>
      <c r="E14" s="201">
        <f>+FACTURACION!E14</f>
        <v>2047.5</v>
      </c>
      <c r="F14" s="201">
        <v>0</v>
      </c>
      <c r="G14" s="201">
        <f t="shared" si="1"/>
        <v>2047.5</v>
      </c>
      <c r="H14" s="201">
        <f t="shared" si="2"/>
        <v>204.75</v>
      </c>
      <c r="I14" s="201">
        <v>0</v>
      </c>
      <c r="J14" s="201">
        <f t="shared" si="3"/>
        <v>204.75</v>
      </c>
      <c r="K14" s="201">
        <f t="shared" si="4"/>
        <v>1842.75</v>
      </c>
    </row>
    <row r="15" spans="1:11">
      <c r="A15" s="178" t="s">
        <v>30</v>
      </c>
      <c r="B15" s="178" t="str">
        <f t="shared" si="0"/>
        <v>SI</v>
      </c>
      <c r="C15" s="179" t="s">
        <v>29</v>
      </c>
      <c r="D15" s="178" t="s">
        <v>30</v>
      </c>
      <c r="E15" s="201">
        <f>+FACTURACION!E15</f>
        <v>3825</v>
      </c>
      <c r="F15" s="201">
        <v>0</v>
      </c>
      <c r="G15" s="201">
        <f t="shared" si="1"/>
        <v>3825</v>
      </c>
      <c r="H15" s="201">
        <f t="shared" si="2"/>
        <v>382.5</v>
      </c>
      <c r="I15" s="201">
        <v>0</v>
      </c>
      <c r="J15" s="201">
        <f t="shared" si="3"/>
        <v>382.5</v>
      </c>
      <c r="K15" s="201">
        <f t="shared" si="4"/>
        <v>3442.5</v>
      </c>
    </row>
    <row r="16" spans="1:11">
      <c r="A16" s="178" t="s">
        <v>32</v>
      </c>
      <c r="B16" s="178" t="str">
        <f t="shared" si="0"/>
        <v>SI</v>
      </c>
      <c r="C16" s="179" t="s">
        <v>31</v>
      </c>
      <c r="D16" s="178" t="s">
        <v>32</v>
      </c>
      <c r="E16" s="201">
        <f>+FACTURACION!E16</f>
        <v>7682.82</v>
      </c>
      <c r="F16" s="201">
        <v>0</v>
      </c>
      <c r="G16" s="201">
        <f t="shared" si="1"/>
        <v>7682.82</v>
      </c>
      <c r="H16" s="201">
        <f t="shared" si="2"/>
        <v>768.28200000000004</v>
      </c>
      <c r="I16" s="201">
        <v>0</v>
      </c>
      <c r="J16" s="201">
        <f t="shared" si="3"/>
        <v>768.28200000000004</v>
      </c>
      <c r="K16" s="201">
        <f t="shared" si="4"/>
        <v>6914.5379999999996</v>
      </c>
    </row>
    <row r="17" spans="1:11">
      <c r="A17" s="178" t="s">
        <v>34</v>
      </c>
      <c r="B17" s="178" t="str">
        <f t="shared" si="0"/>
        <v>SI</v>
      </c>
      <c r="C17" s="179" t="s">
        <v>33</v>
      </c>
      <c r="D17" s="178" t="s">
        <v>34</v>
      </c>
      <c r="E17" s="201">
        <f>+FACTURACION!E17</f>
        <v>1000</v>
      </c>
      <c r="F17" s="201">
        <v>0</v>
      </c>
      <c r="G17" s="201">
        <f t="shared" si="1"/>
        <v>1000</v>
      </c>
      <c r="H17" s="201">
        <f t="shared" si="2"/>
        <v>100</v>
      </c>
      <c r="I17" s="201">
        <v>0</v>
      </c>
      <c r="J17" s="201">
        <f t="shared" si="3"/>
        <v>100</v>
      </c>
      <c r="K17" s="201">
        <f t="shared" si="4"/>
        <v>900</v>
      </c>
    </row>
    <row r="18" spans="1:11">
      <c r="A18" s="178" t="s">
        <v>36</v>
      </c>
      <c r="B18" s="178" t="str">
        <f t="shared" si="0"/>
        <v>SI</v>
      </c>
      <c r="C18" s="179" t="s">
        <v>35</v>
      </c>
      <c r="D18" s="178" t="s">
        <v>36</v>
      </c>
      <c r="E18" s="201">
        <f>+FACTURACION!E18</f>
        <v>0</v>
      </c>
      <c r="F18" s="201">
        <v>0</v>
      </c>
      <c r="G18" s="201">
        <f t="shared" si="1"/>
        <v>0</v>
      </c>
      <c r="H18" s="201">
        <f t="shared" si="2"/>
        <v>0</v>
      </c>
      <c r="I18" s="201">
        <v>0</v>
      </c>
      <c r="J18" s="201">
        <f t="shared" si="3"/>
        <v>0</v>
      </c>
      <c r="K18" s="201">
        <f t="shared" si="4"/>
        <v>0</v>
      </c>
    </row>
    <row r="19" spans="1:11">
      <c r="A19" s="178" t="s">
        <v>38</v>
      </c>
      <c r="B19" s="178" t="str">
        <f t="shared" si="0"/>
        <v>SI</v>
      </c>
      <c r="C19" s="179" t="s">
        <v>37</v>
      </c>
      <c r="D19" s="178" t="s">
        <v>38</v>
      </c>
      <c r="E19" s="201">
        <f>+FACTURACION!E19</f>
        <v>0</v>
      </c>
      <c r="F19" s="201">
        <v>0</v>
      </c>
      <c r="G19" s="201">
        <f t="shared" si="1"/>
        <v>0</v>
      </c>
      <c r="H19" s="201">
        <f t="shared" si="2"/>
        <v>0</v>
      </c>
      <c r="I19" s="201">
        <v>0</v>
      </c>
      <c r="J19" s="201">
        <f t="shared" si="3"/>
        <v>0</v>
      </c>
      <c r="K19" s="201">
        <f t="shared" si="4"/>
        <v>0</v>
      </c>
    </row>
    <row r="20" spans="1:11">
      <c r="A20" s="178" t="s">
        <v>40</v>
      </c>
      <c r="B20" s="178" t="str">
        <f t="shared" si="0"/>
        <v>SI</v>
      </c>
      <c r="C20" s="179" t="s">
        <v>39</v>
      </c>
      <c r="D20" s="178" t="s">
        <v>40</v>
      </c>
      <c r="E20" s="201">
        <f>+FACTURACION!E20</f>
        <v>0</v>
      </c>
      <c r="F20" s="201">
        <v>0</v>
      </c>
      <c r="G20" s="201">
        <f t="shared" si="1"/>
        <v>0</v>
      </c>
      <c r="H20" s="201">
        <f t="shared" si="2"/>
        <v>0</v>
      </c>
      <c r="I20" s="201">
        <v>0</v>
      </c>
      <c r="J20" s="201">
        <f t="shared" si="3"/>
        <v>0</v>
      </c>
      <c r="K20" s="201">
        <f t="shared" si="4"/>
        <v>0</v>
      </c>
    </row>
    <row r="21" spans="1:11">
      <c r="A21" s="178" t="s">
        <v>42</v>
      </c>
      <c r="B21" s="178" t="str">
        <f t="shared" si="0"/>
        <v>SI</v>
      </c>
      <c r="C21" s="179" t="s">
        <v>41</v>
      </c>
      <c r="D21" s="178" t="s">
        <v>42</v>
      </c>
      <c r="E21" s="201">
        <f>+FACTURACION!E21</f>
        <v>32442.47</v>
      </c>
      <c r="F21" s="201">
        <v>0</v>
      </c>
      <c r="G21" s="201">
        <f t="shared" si="1"/>
        <v>32442.47</v>
      </c>
      <c r="H21" s="201">
        <f t="shared" si="2"/>
        <v>3244.2470000000003</v>
      </c>
      <c r="I21" s="201"/>
      <c r="J21" s="201">
        <f t="shared" si="3"/>
        <v>3244.2470000000003</v>
      </c>
      <c r="K21" s="201">
        <f t="shared" si="4"/>
        <v>29198.223000000002</v>
      </c>
    </row>
    <row r="22" spans="1:11">
      <c r="A22" s="178" t="s">
        <v>44</v>
      </c>
      <c r="B22" s="178" t="str">
        <f t="shared" si="0"/>
        <v>SI</v>
      </c>
      <c r="C22" s="179" t="s">
        <v>43</v>
      </c>
      <c r="D22" s="178" t="s">
        <v>44</v>
      </c>
      <c r="E22" s="201">
        <f>+FACTURACION!E22</f>
        <v>0</v>
      </c>
      <c r="F22" s="201">
        <v>0</v>
      </c>
      <c r="G22" s="201">
        <f t="shared" si="1"/>
        <v>0</v>
      </c>
      <c r="H22" s="201">
        <f t="shared" si="2"/>
        <v>0</v>
      </c>
      <c r="I22" s="201">
        <v>0</v>
      </c>
      <c r="J22" s="201">
        <f t="shared" si="3"/>
        <v>0</v>
      </c>
      <c r="K22" s="201">
        <f t="shared" si="4"/>
        <v>0</v>
      </c>
    </row>
    <row r="23" spans="1:11">
      <c r="A23" s="178" t="s">
        <v>46</v>
      </c>
      <c r="B23" s="178" t="str">
        <f t="shared" si="0"/>
        <v>SI</v>
      </c>
      <c r="C23" s="179" t="s">
        <v>45</v>
      </c>
      <c r="D23" s="178" t="s">
        <v>46</v>
      </c>
      <c r="E23" s="201">
        <f>+FACTURACION!E23</f>
        <v>0</v>
      </c>
      <c r="F23" s="201">
        <v>0</v>
      </c>
      <c r="G23" s="201">
        <f t="shared" si="1"/>
        <v>0</v>
      </c>
      <c r="H23" s="201">
        <f t="shared" si="2"/>
        <v>0</v>
      </c>
      <c r="I23" s="201">
        <v>0</v>
      </c>
      <c r="J23" s="201">
        <f t="shared" si="3"/>
        <v>0</v>
      </c>
      <c r="K23" s="201">
        <f t="shared" si="4"/>
        <v>0</v>
      </c>
    </row>
    <row r="24" spans="1:11" s="205" customFormat="1">
      <c r="A24" s="204" t="s">
        <v>48</v>
      </c>
      <c r="B24" s="178" t="str">
        <f t="shared" si="0"/>
        <v>SI</v>
      </c>
      <c r="C24" s="203" t="s">
        <v>47</v>
      </c>
      <c r="D24" s="204" t="s">
        <v>48</v>
      </c>
      <c r="E24" s="201">
        <v>0</v>
      </c>
      <c r="F24" s="206">
        <v>0</v>
      </c>
      <c r="G24" s="206">
        <f t="shared" si="1"/>
        <v>0</v>
      </c>
      <c r="H24" s="201">
        <f t="shared" si="2"/>
        <v>0</v>
      </c>
      <c r="I24" s="206">
        <v>0</v>
      </c>
      <c r="J24" s="206">
        <f t="shared" si="3"/>
        <v>0</v>
      </c>
      <c r="K24" s="206">
        <f t="shared" si="4"/>
        <v>0</v>
      </c>
    </row>
    <row r="25" spans="1:11">
      <c r="A25" s="178" t="s">
        <v>52</v>
      </c>
      <c r="B25" s="178" t="str">
        <f t="shared" si="0"/>
        <v>SI</v>
      </c>
      <c r="C25" s="179" t="s">
        <v>51</v>
      </c>
      <c r="D25" s="178" t="s">
        <v>52</v>
      </c>
      <c r="E25" s="201">
        <f>+FACTURACION!E25</f>
        <v>11366.95</v>
      </c>
      <c r="F25" s="201">
        <v>0</v>
      </c>
      <c r="G25" s="201">
        <f t="shared" si="1"/>
        <v>11366.95</v>
      </c>
      <c r="H25" s="201">
        <f t="shared" si="2"/>
        <v>1136.6950000000002</v>
      </c>
      <c r="I25" s="201">
        <v>0</v>
      </c>
      <c r="J25" s="201">
        <f t="shared" si="3"/>
        <v>1136.6950000000002</v>
      </c>
      <c r="K25" s="201">
        <f t="shared" si="4"/>
        <v>10230.255000000001</v>
      </c>
    </row>
    <row r="26" spans="1:11">
      <c r="A26" s="178" t="s">
        <v>54</v>
      </c>
      <c r="B26" s="178" t="str">
        <f t="shared" si="0"/>
        <v>SI</v>
      </c>
      <c r="C26" s="179" t="s">
        <v>53</v>
      </c>
      <c r="D26" s="178" t="s">
        <v>54</v>
      </c>
      <c r="E26" s="201">
        <f>+FACTURACION!E26</f>
        <v>22750</v>
      </c>
      <c r="F26" s="201">
        <v>0</v>
      </c>
      <c r="G26" s="201">
        <f t="shared" si="1"/>
        <v>22750</v>
      </c>
      <c r="H26" s="201">
        <f t="shared" si="2"/>
        <v>2275</v>
      </c>
      <c r="I26" s="201">
        <v>0</v>
      </c>
      <c r="J26" s="201">
        <f t="shared" si="3"/>
        <v>2275</v>
      </c>
      <c r="K26" s="201">
        <f t="shared" si="4"/>
        <v>20475</v>
      </c>
    </row>
    <row r="27" spans="1:11">
      <c r="A27" s="204" t="s">
        <v>292</v>
      </c>
      <c r="B27" s="178" t="str">
        <f t="shared" si="0"/>
        <v>SI</v>
      </c>
      <c r="C27" s="203" t="s">
        <v>55</v>
      </c>
      <c r="D27" s="204" t="s">
        <v>292</v>
      </c>
      <c r="E27" s="201">
        <v>0</v>
      </c>
      <c r="F27" s="206">
        <v>0</v>
      </c>
      <c r="G27" s="206">
        <f t="shared" si="1"/>
        <v>0</v>
      </c>
      <c r="H27" s="201">
        <f t="shared" si="2"/>
        <v>0</v>
      </c>
      <c r="I27" s="206">
        <v>0</v>
      </c>
      <c r="J27" s="206">
        <f t="shared" si="3"/>
        <v>0</v>
      </c>
      <c r="K27" s="206">
        <f t="shared" si="4"/>
        <v>0</v>
      </c>
    </row>
    <row r="28" spans="1:11" s="205" customFormat="1">
      <c r="A28" s="178" t="s">
        <v>57</v>
      </c>
      <c r="B28" s="178" t="str">
        <f t="shared" si="0"/>
        <v>SI</v>
      </c>
      <c r="C28" s="179" t="s">
        <v>56</v>
      </c>
      <c r="D28" s="178" t="s">
        <v>57</v>
      </c>
      <c r="E28" s="201">
        <f>+FACTURACION!E28</f>
        <v>5265</v>
      </c>
      <c r="F28" s="201">
        <v>0</v>
      </c>
      <c r="G28" s="201">
        <f t="shared" si="1"/>
        <v>5265</v>
      </c>
      <c r="H28" s="201">
        <f t="shared" si="2"/>
        <v>526.5</v>
      </c>
      <c r="I28" s="201">
        <v>0</v>
      </c>
      <c r="J28" s="201">
        <f t="shared" si="3"/>
        <v>526.5</v>
      </c>
      <c r="K28" s="201">
        <f t="shared" si="4"/>
        <v>4738.5</v>
      </c>
    </row>
    <row r="29" spans="1:11">
      <c r="A29" s="178" t="s">
        <v>59</v>
      </c>
      <c r="B29" s="178" t="str">
        <f t="shared" si="0"/>
        <v>SI</v>
      </c>
      <c r="C29" s="179" t="s">
        <v>58</v>
      </c>
      <c r="D29" s="178" t="s">
        <v>59</v>
      </c>
      <c r="E29" s="201">
        <f>+FACTURACION!E29</f>
        <v>13890</v>
      </c>
      <c r="F29" s="201">
        <v>0</v>
      </c>
      <c r="G29" s="201">
        <f t="shared" si="1"/>
        <v>13890</v>
      </c>
      <c r="H29" s="201">
        <f t="shared" si="2"/>
        <v>1389</v>
      </c>
      <c r="I29" s="201">
        <v>0</v>
      </c>
      <c r="J29" s="201">
        <f t="shared" si="3"/>
        <v>1389</v>
      </c>
      <c r="K29" s="201">
        <f t="shared" si="4"/>
        <v>12501</v>
      </c>
    </row>
    <row r="30" spans="1:11">
      <c r="A30" s="178" t="s">
        <v>61</v>
      </c>
      <c r="B30" s="178" t="str">
        <f t="shared" si="0"/>
        <v>SI</v>
      </c>
      <c r="C30" s="179" t="s">
        <v>60</v>
      </c>
      <c r="D30" s="178" t="s">
        <v>61</v>
      </c>
      <c r="E30" s="201">
        <f>+FACTURACION!E30</f>
        <v>11886.62</v>
      </c>
      <c r="F30" s="201">
        <v>0</v>
      </c>
      <c r="G30" s="201">
        <f t="shared" si="1"/>
        <v>11886.62</v>
      </c>
      <c r="H30" s="201">
        <f t="shared" si="2"/>
        <v>1188.662</v>
      </c>
      <c r="I30" s="201">
        <v>0</v>
      </c>
      <c r="J30" s="201">
        <f t="shared" si="3"/>
        <v>1188.662</v>
      </c>
      <c r="K30" s="201">
        <f t="shared" si="4"/>
        <v>10697.958000000001</v>
      </c>
    </row>
    <row r="31" spans="1:11">
      <c r="A31" s="178" t="s">
        <v>63</v>
      </c>
      <c r="B31" s="178" t="str">
        <f t="shared" si="0"/>
        <v>SI</v>
      </c>
      <c r="C31" s="179" t="s">
        <v>62</v>
      </c>
      <c r="D31" s="178" t="s">
        <v>63</v>
      </c>
      <c r="E31" s="201">
        <f>+FACTURACION!E31</f>
        <v>0</v>
      </c>
      <c r="F31" s="201">
        <v>0</v>
      </c>
      <c r="G31" s="201">
        <f t="shared" si="1"/>
        <v>0</v>
      </c>
      <c r="H31" s="201">
        <f t="shared" si="2"/>
        <v>0</v>
      </c>
      <c r="I31" s="201">
        <v>0</v>
      </c>
      <c r="J31" s="201">
        <f t="shared" si="3"/>
        <v>0</v>
      </c>
      <c r="K31" s="201">
        <f t="shared" si="4"/>
        <v>0</v>
      </c>
    </row>
    <row r="32" spans="1:11">
      <c r="A32" s="178" t="s">
        <v>65</v>
      </c>
      <c r="B32" s="178" t="str">
        <f t="shared" si="0"/>
        <v>SI</v>
      </c>
      <c r="C32" s="179" t="s">
        <v>64</v>
      </c>
      <c r="D32" s="178" t="s">
        <v>65</v>
      </c>
      <c r="E32" s="201">
        <f>+FACTURACION!E32</f>
        <v>3047.5</v>
      </c>
      <c r="F32" s="201">
        <v>0</v>
      </c>
      <c r="G32" s="201">
        <f t="shared" si="1"/>
        <v>3047.5</v>
      </c>
      <c r="H32" s="201">
        <f t="shared" si="2"/>
        <v>304.75</v>
      </c>
      <c r="I32" s="201">
        <v>0</v>
      </c>
      <c r="J32" s="201">
        <f t="shared" si="3"/>
        <v>304.75</v>
      </c>
      <c r="K32" s="201">
        <f t="shared" si="4"/>
        <v>2742.75</v>
      </c>
    </row>
    <row r="33" spans="1:11">
      <c r="A33" s="178" t="s">
        <v>67</v>
      </c>
      <c r="B33" s="178" t="str">
        <f t="shared" si="0"/>
        <v>SI</v>
      </c>
      <c r="C33" s="179" t="s">
        <v>66</v>
      </c>
      <c r="D33" s="178" t="s">
        <v>67</v>
      </c>
      <c r="E33" s="201">
        <f>+FACTURACION!E33</f>
        <v>0</v>
      </c>
      <c r="F33" s="201">
        <v>0</v>
      </c>
      <c r="G33" s="201">
        <f t="shared" si="1"/>
        <v>0</v>
      </c>
      <c r="H33" s="201">
        <f t="shared" si="2"/>
        <v>0</v>
      </c>
      <c r="I33" s="201">
        <v>0</v>
      </c>
      <c r="J33" s="201">
        <f t="shared" si="3"/>
        <v>0</v>
      </c>
      <c r="K33" s="201">
        <f t="shared" si="4"/>
        <v>0</v>
      </c>
    </row>
    <row r="34" spans="1:11">
      <c r="A34" s="178" t="s">
        <v>69</v>
      </c>
      <c r="B34" s="178" t="str">
        <f t="shared" si="0"/>
        <v>SI</v>
      </c>
      <c r="C34" s="179" t="s">
        <v>68</v>
      </c>
      <c r="D34" s="178" t="s">
        <v>69</v>
      </c>
      <c r="E34" s="201">
        <f>+FACTURACION!E34</f>
        <v>1000</v>
      </c>
      <c r="F34" s="201">
        <v>0</v>
      </c>
      <c r="G34" s="201">
        <f t="shared" si="1"/>
        <v>1000</v>
      </c>
      <c r="H34" s="201">
        <f t="shared" si="2"/>
        <v>100</v>
      </c>
      <c r="I34" s="201">
        <v>0</v>
      </c>
      <c r="J34" s="201">
        <f t="shared" si="3"/>
        <v>100</v>
      </c>
      <c r="K34" s="201">
        <f t="shared" si="4"/>
        <v>900</v>
      </c>
    </row>
    <row r="35" spans="1:11">
      <c r="A35" s="178" t="s">
        <v>71</v>
      </c>
      <c r="B35" s="178" t="str">
        <f t="shared" si="0"/>
        <v>SI</v>
      </c>
      <c r="C35" s="179" t="s">
        <v>70</v>
      </c>
      <c r="D35" s="178" t="s">
        <v>71</v>
      </c>
      <c r="E35" s="201">
        <f>+FACTURACION!E35</f>
        <v>1815</v>
      </c>
      <c r="F35" s="201">
        <v>0</v>
      </c>
      <c r="G35" s="201">
        <f t="shared" si="1"/>
        <v>1815</v>
      </c>
      <c r="H35" s="201">
        <f t="shared" si="2"/>
        <v>181.5</v>
      </c>
      <c r="I35" s="201">
        <v>0</v>
      </c>
      <c r="J35" s="201">
        <f t="shared" si="3"/>
        <v>181.5</v>
      </c>
      <c r="K35" s="201">
        <f t="shared" si="4"/>
        <v>1633.5</v>
      </c>
    </row>
    <row r="36" spans="1:11">
      <c r="A36" s="178" t="s">
        <v>73</v>
      </c>
      <c r="B36" s="178" t="str">
        <f t="shared" si="0"/>
        <v>SI</v>
      </c>
      <c r="C36" s="179" t="s">
        <v>72</v>
      </c>
      <c r="D36" s="178" t="s">
        <v>73</v>
      </c>
      <c r="E36" s="201">
        <f>+FACTURACION!E36</f>
        <v>0</v>
      </c>
      <c r="F36" s="201">
        <v>0</v>
      </c>
      <c r="G36" s="201">
        <f t="shared" si="1"/>
        <v>0</v>
      </c>
      <c r="H36" s="201">
        <f t="shared" si="2"/>
        <v>0</v>
      </c>
      <c r="I36" s="201">
        <v>0</v>
      </c>
      <c r="J36" s="201">
        <f t="shared" si="3"/>
        <v>0</v>
      </c>
      <c r="K36" s="201">
        <f t="shared" si="4"/>
        <v>0</v>
      </c>
    </row>
    <row r="37" spans="1:11">
      <c r="A37" s="178" t="s">
        <v>75</v>
      </c>
      <c r="B37" s="178" t="str">
        <f t="shared" si="0"/>
        <v>SI</v>
      </c>
      <c r="C37" s="179" t="s">
        <v>74</v>
      </c>
      <c r="D37" s="178" t="s">
        <v>75</v>
      </c>
      <c r="E37" s="201">
        <f>+FACTURACION!E37</f>
        <v>6175.72</v>
      </c>
      <c r="F37" s="201">
        <v>0</v>
      </c>
      <c r="G37" s="201">
        <f t="shared" si="1"/>
        <v>6175.72</v>
      </c>
      <c r="H37" s="201">
        <f t="shared" si="2"/>
        <v>617.57200000000012</v>
      </c>
      <c r="I37" s="201">
        <v>0</v>
      </c>
      <c r="J37" s="201">
        <f t="shared" si="3"/>
        <v>617.57200000000012</v>
      </c>
      <c r="K37" s="201">
        <f t="shared" si="4"/>
        <v>5558.1480000000001</v>
      </c>
    </row>
    <row r="38" spans="1:11">
      <c r="A38" s="178" t="s">
        <v>77</v>
      </c>
      <c r="B38" s="178" t="str">
        <f t="shared" si="0"/>
        <v>SI</v>
      </c>
      <c r="C38" s="179" t="s">
        <v>76</v>
      </c>
      <c r="D38" s="178" t="s">
        <v>77</v>
      </c>
      <c r="E38" s="201">
        <f>+FACTURACION!E38</f>
        <v>0</v>
      </c>
      <c r="F38" s="201">
        <v>0</v>
      </c>
      <c r="G38" s="201">
        <f t="shared" si="1"/>
        <v>0</v>
      </c>
      <c r="H38" s="201">
        <f t="shared" si="2"/>
        <v>0</v>
      </c>
      <c r="I38" s="201">
        <v>0</v>
      </c>
      <c r="J38" s="201">
        <f t="shared" si="3"/>
        <v>0</v>
      </c>
      <c r="K38" s="201">
        <f t="shared" si="4"/>
        <v>0</v>
      </c>
    </row>
    <row r="39" spans="1:11">
      <c r="A39" s="178" t="s">
        <v>79</v>
      </c>
      <c r="B39" s="178" t="str">
        <f t="shared" si="0"/>
        <v>SI</v>
      </c>
      <c r="C39" s="179" t="s">
        <v>78</v>
      </c>
      <c r="D39" s="178" t="s">
        <v>79</v>
      </c>
      <c r="E39" s="201">
        <f>+FACTURACION!E39</f>
        <v>5051.43</v>
      </c>
      <c r="F39" s="201">
        <v>0</v>
      </c>
      <c r="G39" s="201">
        <f t="shared" si="1"/>
        <v>5051.43</v>
      </c>
      <c r="H39" s="201">
        <f t="shared" si="2"/>
        <v>505.14300000000003</v>
      </c>
      <c r="I39" s="201">
        <v>0</v>
      </c>
      <c r="J39" s="201">
        <f t="shared" si="3"/>
        <v>505.14300000000003</v>
      </c>
      <c r="K39" s="201">
        <f t="shared" si="4"/>
        <v>4546.2870000000003</v>
      </c>
    </row>
    <row r="40" spans="1:11">
      <c r="A40" s="178" t="s">
        <v>81</v>
      </c>
      <c r="B40" s="178" t="str">
        <f t="shared" si="0"/>
        <v>SI</v>
      </c>
      <c r="C40" s="179" t="s">
        <v>80</v>
      </c>
      <c r="D40" s="178" t="s">
        <v>81</v>
      </c>
      <c r="E40" s="201">
        <f>+FACTURACION!E40</f>
        <v>25366.799999999999</v>
      </c>
      <c r="F40" s="201">
        <v>0</v>
      </c>
      <c r="G40" s="201">
        <f t="shared" si="1"/>
        <v>25366.799999999999</v>
      </c>
      <c r="H40" s="201">
        <f t="shared" si="2"/>
        <v>2536.6800000000003</v>
      </c>
      <c r="I40" s="201">
        <v>0</v>
      </c>
      <c r="J40" s="201">
        <f t="shared" si="3"/>
        <v>2536.6800000000003</v>
      </c>
      <c r="K40" s="201">
        <f t="shared" si="4"/>
        <v>22830.12</v>
      </c>
    </row>
    <row r="41" spans="1:11">
      <c r="A41" s="178" t="s">
        <v>83</v>
      </c>
      <c r="B41" s="178" t="str">
        <f t="shared" si="0"/>
        <v>SI</v>
      </c>
      <c r="C41" s="179" t="s">
        <v>82</v>
      </c>
      <c r="D41" s="178" t="s">
        <v>83</v>
      </c>
      <c r="E41" s="201">
        <f>+FACTURACION!E41</f>
        <v>0</v>
      </c>
      <c r="F41" s="201">
        <v>0</v>
      </c>
      <c r="G41" s="201">
        <f t="shared" si="1"/>
        <v>0</v>
      </c>
      <c r="H41" s="201">
        <f t="shared" si="2"/>
        <v>0</v>
      </c>
      <c r="I41" s="201">
        <v>0</v>
      </c>
      <c r="J41" s="201">
        <f t="shared" si="3"/>
        <v>0</v>
      </c>
      <c r="K41" s="201">
        <f t="shared" si="4"/>
        <v>0</v>
      </c>
    </row>
    <row r="42" spans="1:11">
      <c r="A42" s="178" t="s">
        <v>85</v>
      </c>
      <c r="B42" s="178" t="str">
        <f t="shared" si="0"/>
        <v>SI</v>
      </c>
      <c r="C42" s="179" t="s">
        <v>84</v>
      </c>
      <c r="D42" s="178" t="s">
        <v>85</v>
      </c>
      <c r="E42" s="201">
        <f>+FACTURACION!E42</f>
        <v>1500</v>
      </c>
      <c r="F42" s="201">
        <v>0</v>
      </c>
      <c r="G42" s="201">
        <f t="shared" si="1"/>
        <v>1500</v>
      </c>
      <c r="H42" s="201">
        <f t="shared" si="2"/>
        <v>150</v>
      </c>
      <c r="I42" s="201">
        <v>0</v>
      </c>
      <c r="J42" s="201">
        <f t="shared" si="3"/>
        <v>150</v>
      </c>
      <c r="K42" s="201">
        <f t="shared" si="4"/>
        <v>1350</v>
      </c>
    </row>
    <row r="43" spans="1:11">
      <c r="A43" s="178" t="s">
        <v>87</v>
      </c>
      <c r="B43" s="178" t="str">
        <f t="shared" si="0"/>
        <v>SI</v>
      </c>
      <c r="C43" s="179" t="s">
        <v>86</v>
      </c>
      <c r="D43" s="178" t="s">
        <v>87</v>
      </c>
      <c r="E43" s="201">
        <f>+FACTURACION!E43</f>
        <v>22819.09</v>
      </c>
      <c r="F43" s="201">
        <v>0</v>
      </c>
      <c r="G43" s="201">
        <f t="shared" si="1"/>
        <v>22819.09</v>
      </c>
      <c r="H43" s="201">
        <f t="shared" si="2"/>
        <v>2281.9090000000001</v>
      </c>
      <c r="I43" s="201">
        <v>0</v>
      </c>
      <c r="J43" s="201">
        <f t="shared" si="3"/>
        <v>2281.9090000000001</v>
      </c>
      <c r="K43" s="201">
        <f t="shared" si="4"/>
        <v>20537.181</v>
      </c>
    </row>
    <row r="44" spans="1:11">
      <c r="A44" s="178" t="s">
        <v>89</v>
      </c>
      <c r="B44" s="178" t="str">
        <f t="shared" si="0"/>
        <v>SI</v>
      </c>
      <c r="C44" s="179" t="s">
        <v>88</v>
      </c>
      <c r="D44" s="178" t="s">
        <v>89</v>
      </c>
      <c r="E44" s="201">
        <f>+FACTURACION!E44</f>
        <v>1000</v>
      </c>
      <c r="F44" s="201">
        <v>0</v>
      </c>
      <c r="G44" s="201">
        <f t="shared" si="1"/>
        <v>1000</v>
      </c>
      <c r="H44" s="201">
        <f t="shared" si="2"/>
        <v>100</v>
      </c>
      <c r="I44" s="201">
        <v>0</v>
      </c>
      <c r="J44" s="201">
        <f t="shared" si="3"/>
        <v>100</v>
      </c>
      <c r="K44" s="201">
        <f t="shared" si="4"/>
        <v>900</v>
      </c>
    </row>
    <row r="45" spans="1:11">
      <c r="A45" s="178" t="s">
        <v>91</v>
      </c>
      <c r="B45" s="178" t="str">
        <f t="shared" si="0"/>
        <v>SI</v>
      </c>
      <c r="C45" s="179" t="s">
        <v>90</v>
      </c>
      <c r="D45" s="178" t="s">
        <v>91</v>
      </c>
      <c r="E45" s="201">
        <f>+FACTURACION!E45</f>
        <v>15211.13</v>
      </c>
      <c r="F45" s="201">
        <v>0</v>
      </c>
      <c r="G45" s="201">
        <f t="shared" si="1"/>
        <v>15211.13</v>
      </c>
      <c r="H45" s="201">
        <f t="shared" si="2"/>
        <v>1521.1130000000001</v>
      </c>
      <c r="I45" s="201">
        <v>0</v>
      </c>
      <c r="J45" s="201">
        <f t="shared" si="3"/>
        <v>1521.1130000000001</v>
      </c>
      <c r="K45" s="201">
        <f t="shared" si="4"/>
        <v>13690.017</v>
      </c>
    </row>
    <row r="46" spans="1:11">
      <c r="A46" s="178" t="s">
        <v>93</v>
      </c>
      <c r="B46" s="178" t="str">
        <f t="shared" si="0"/>
        <v>SI</v>
      </c>
      <c r="C46" s="179" t="s">
        <v>92</v>
      </c>
      <c r="D46" s="178" t="s">
        <v>93</v>
      </c>
      <c r="E46" s="201">
        <f>+FACTURACION!E46</f>
        <v>15707.8</v>
      </c>
      <c r="F46" s="201">
        <v>0</v>
      </c>
      <c r="G46" s="201">
        <f t="shared" si="1"/>
        <v>15707.8</v>
      </c>
      <c r="H46" s="201">
        <f t="shared" si="2"/>
        <v>1570.78</v>
      </c>
      <c r="I46" s="201">
        <v>0</v>
      </c>
      <c r="J46" s="201">
        <f t="shared" si="3"/>
        <v>1570.78</v>
      </c>
      <c r="K46" s="201">
        <f t="shared" si="4"/>
        <v>14137.019999999999</v>
      </c>
    </row>
    <row r="47" spans="1:11">
      <c r="A47" s="178" t="s">
        <v>95</v>
      </c>
      <c r="B47" s="178" t="str">
        <f t="shared" si="0"/>
        <v>SI</v>
      </c>
      <c r="C47" s="179" t="s">
        <v>94</v>
      </c>
      <c r="D47" s="178" t="s">
        <v>95</v>
      </c>
      <c r="E47" s="201">
        <f>+FACTURACION!E47</f>
        <v>6250</v>
      </c>
      <c r="F47" s="201">
        <v>0</v>
      </c>
      <c r="G47" s="201">
        <f t="shared" si="1"/>
        <v>6250</v>
      </c>
      <c r="H47" s="201">
        <f t="shared" si="2"/>
        <v>625</v>
      </c>
      <c r="I47" s="201">
        <v>0</v>
      </c>
      <c r="J47" s="201">
        <f t="shared" si="3"/>
        <v>625</v>
      </c>
      <c r="K47" s="201">
        <f t="shared" si="4"/>
        <v>5625</v>
      </c>
    </row>
    <row r="48" spans="1:11">
      <c r="A48" s="178" t="s">
        <v>97</v>
      </c>
      <c r="B48" s="178" t="str">
        <f t="shared" si="0"/>
        <v>SI</v>
      </c>
      <c r="C48" s="179" t="s">
        <v>96</v>
      </c>
      <c r="D48" s="178" t="s">
        <v>97</v>
      </c>
      <c r="E48" s="201">
        <f>+FACTURACION!E48</f>
        <v>1300</v>
      </c>
      <c r="F48" s="201">
        <v>0</v>
      </c>
      <c r="G48" s="201">
        <f t="shared" si="1"/>
        <v>1300</v>
      </c>
      <c r="H48" s="201">
        <f t="shared" si="2"/>
        <v>130</v>
      </c>
      <c r="I48" s="201">
        <v>0</v>
      </c>
      <c r="J48" s="201">
        <f t="shared" si="3"/>
        <v>130</v>
      </c>
      <c r="K48" s="201">
        <f t="shared" si="4"/>
        <v>1170</v>
      </c>
    </row>
    <row r="49" spans="1:12">
      <c r="A49" s="178" t="s">
        <v>99</v>
      </c>
      <c r="B49" s="178" t="str">
        <f t="shared" si="0"/>
        <v>SI</v>
      </c>
      <c r="C49" s="179" t="s">
        <v>98</v>
      </c>
      <c r="D49" s="178" t="s">
        <v>99</v>
      </c>
      <c r="E49" s="201">
        <f>+FACTURACION!E49</f>
        <v>0</v>
      </c>
      <c r="F49" s="201">
        <v>0</v>
      </c>
      <c r="G49" s="201">
        <f t="shared" si="1"/>
        <v>0</v>
      </c>
      <c r="H49" s="201">
        <f t="shared" si="2"/>
        <v>0</v>
      </c>
      <c r="I49" s="201">
        <v>0</v>
      </c>
      <c r="J49" s="201">
        <f t="shared" si="3"/>
        <v>0</v>
      </c>
      <c r="K49" s="201">
        <f t="shared" si="4"/>
        <v>0</v>
      </c>
    </row>
    <row r="50" spans="1:12">
      <c r="A50" s="178" t="s">
        <v>101</v>
      </c>
      <c r="B50" s="178" t="str">
        <f t="shared" si="0"/>
        <v>SI</v>
      </c>
      <c r="C50" s="179" t="s">
        <v>100</v>
      </c>
      <c r="D50" s="178" t="s">
        <v>101</v>
      </c>
      <c r="E50" s="201">
        <f>+FACTURACION!E50</f>
        <v>13072.25</v>
      </c>
      <c r="F50" s="201">
        <v>0</v>
      </c>
      <c r="G50" s="201">
        <f t="shared" si="1"/>
        <v>13072.25</v>
      </c>
      <c r="H50" s="201">
        <f t="shared" si="2"/>
        <v>1307.2250000000001</v>
      </c>
      <c r="I50" s="201">
        <v>0</v>
      </c>
      <c r="J50" s="201">
        <f t="shared" si="3"/>
        <v>1307.2250000000001</v>
      </c>
      <c r="K50" s="201">
        <f t="shared" si="4"/>
        <v>11765.025</v>
      </c>
    </row>
    <row r="51" spans="1:12">
      <c r="A51" s="178" t="s">
        <v>103</v>
      </c>
      <c r="B51" s="178" t="str">
        <f t="shared" si="0"/>
        <v>SI</v>
      </c>
      <c r="C51" s="179" t="s">
        <v>102</v>
      </c>
      <c r="D51" s="178" t="s">
        <v>103</v>
      </c>
      <c r="E51" s="201">
        <f>+FACTURACION!E51</f>
        <v>6730.07</v>
      </c>
      <c r="F51" s="201">
        <v>0</v>
      </c>
      <c r="G51" s="201">
        <f t="shared" si="1"/>
        <v>6730.07</v>
      </c>
      <c r="H51" s="201">
        <f t="shared" si="2"/>
        <v>673.00700000000006</v>
      </c>
      <c r="I51" s="201">
        <v>0</v>
      </c>
      <c r="J51" s="201">
        <f t="shared" si="3"/>
        <v>673.00700000000006</v>
      </c>
      <c r="K51" s="201">
        <f t="shared" si="4"/>
        <v>6057.0630000000001</v>
      </c>
    </row>
    <row r="52" spans="1:12">
      <c r="A52" s="178" t="s">
        <v>105</v>
      </c>
      <c r="B52" s="178" t="str">
        <f t="shared" si="0"/>
        <v>SI</v>
      </c>
      <c r="C52" s="179" t="s">
        <v>104</v>
      </c>
      <c r="D52" s="178" t="s">
        <v>105</v>
      </c>
      <c r="E52" s="201">
        <f>+FACTURACION!E52</f>
        <v>7998.44</v>
      </c>
      <c r="F52" s="201">
        <v>0</v>
      </c>
      <c r="G52" s="201">
        <f>SUM(E52:F52)</f>
        <v>7998.44</v>
      </c>
      <c r="H52" s="201">
        <f t="shared" si="2"/>
        <v>799.84400000000005</v>
      </c>
      <c r="I52" s="201">
        <v>0</v>
      </c>
      <c r="J52" s="201">
        <f>SUM(H52:I52)</f>
        <v>799.84400000000005</v>
      </c>
      <c r="K52" s="201">
        <f>+G52-J52</f>
        <v>7198.5959999999995</v>
      </c>
    </row>
    <row r="53" spans="1:12">
      <c r="A53" s="178" t="s">
        <v>107</v>
      </c>
      <c r="B53" s="178" t="str">
        <f t="shared" si="0"/>
        <v>SI</v>
      </c>
      <c r="C53" s="179" t="s">
        <v>106</v>
      </c>
      <c r="D53" s="178" t="s">
        <v>107</v>
      </c>
      <c r="E53" s="201">
        <f>+FACTURACION!E53</f>
        <v>0</v>
      </c>
      <c r="F53" s="201">
        <v>0</v>
      </c>
      <c r="G53" s="201">
        <f t="shared" ref="G53" si="5">SUM(E53:F53)</f>
        <v>0</v>
      </c>
      <c r="H53" s="201">
        <f t="shared" si="2"/>
        <v>0</v>
      </c>
      <c r="I53" s="201">
        <v>0</v>
      </c>
      <c r="J53" s="201">
        <f t="shared" ref="J53" si="6">SUM(H53:I53)</f>
        <v>0</v>
      </c>
      <c r="K53" s="201">
        <f t="shared" ref="K53" si="7">+G53-J53</f>
        <v>0</v>
      </c>
      <c r="L53" s="176"/>
    </row>
    <row r="54" spans="1:12">
      <c r="A54" s="180"/>
      <c r="B54" s="178"/>
      <c r="C54" s="183" t="s">
        <v>108</v>
      </c>
      <c r="D54" s="180"/>
      <c r="E54" s="201" t="str">
        <f>+FACTURACION!E54</f>
        <v xml:space="preserve">  -----------------------</v>
      </c>
      <c r="F54" s="201"/>
      <c r="G54" s="201"/>
      <c r="H54" s="201"/>
      <c r="I54" s="201"/>
      <c r="J54" s="201"/>
      <c r="K54" s="201"/>
      <c r="L54" s="176"/>
    </row>
    <row r="55" spans="1:12" ht="16.5" thickBot="1">
      <c r="B55" s="178"/>
      <c r="C55" s="181" t="s">
        <v>324</v>
      </c>
      <c r="E55" s="202">
        <f t="shared" ref="E55:K55" si="8">SUM(E12:E54)</f>
        <v>258942.45999999996</v>
      </c>
      <c r="F55" s="202">
        <f t="shared" si="8"/>
        <v>0</v>
      </c>
      <c r="G55" s="202">
        <f t="shared" si="8"/>
        <v>258942.45999999996</v>
      </c>
      <c r="H55" s="202">
        <f t="shared" si="8"/>
        <v>25894.246000000003</v>
      </c>
      <c r="I55" s="202">
        <f t="shared" si="8"/>
        <v>0</v>
      </c>
      <c r="J55" s="202">
        <f t="shared" si="8"/>
        <v>25894.246000000003</v>
      </c>
      <c r="K55" s="202">
        <f t="shared" si="8"/>
        <v>233048.21399999998</v>
      </c>
    </row>
    <row r="56" spans="1:12" ht="15.75" thickTop="1">
      <c r="E56" s="201"/>
      <c r="F56" s="176"/>
      <c r="G56" s="176"/>
      <c r="H56" s="176"/>
      <c r="I56" s="176"/>
      <c r="J56" s="176"/>
      <c r="K56" s="176"/>
    </row>
    <row r="57" spans="1:12">
      <c r="E57" s="201"/>
    </row>
    <row r="58" spans="1:12">
      <c r="E58" s="201"/>
    </row>
    <row r="59" spans="1:12">
      <c r="C59" t="s">
        <v>330</v>
      </c>
    </row>
    <row r="61" spans="1:12" s="239" customFormat="1">
      <c r="A61" s="238" t="s">
        <v>48</v>
      </c>
      <c r="B61" s="239" t="s">
        <v>329</v>
      </c>
      <c r="C61" s="239" t="s">
        <v>47</v>
      </c>
      <c r="D61" s="239" t="s">
        <v>48</v>
      </c>
      <c r="E61" s="240">
        <v>71346.259999999995</v>
      </c>
      <c r="F61" s="239">
        <v>0</v>
      </c>
      <c r="G61" s="239">
        <v>71346.259999999995</v>
      </c>
      <c r="H61" s="239">
        <v>7134.6260000000002</v>
      </c>
      <c r="I61" s="239">
        <v>0</v>
      </c>
      <c r="J61" s="239">
        <v>7134.6260000000002</v>
      </c>
      <c r="K61" s="239">
        <v>64211.633999999991</v>
      </c>
    </row>
    <row r="62" spans="1:12" s="239" customFormat="1">
      <c r="A62" s="238" t="s">
        <v>292</v>
      </c>
      <c r="B62" s="239" t="s">
        <v>329</v>
      </c>
      <c r="C62" s="239" t="s">
        <v>55</v>
      </c>
      <c r="D62" s="239" t="s">
        <v>292</v>
      </c>
      <c r="E62" s="240">
        <v>181079.11</v>
      </c>
      <c r="F62" s="239">
        <v>0</v>
      </c>
      <c r="G62" s="239">
        <v>181079.11</v>
      </c>
      <c r="H62" s="239">
        <v>18107.911</v>
      </c>
      <c r="I62" s="239">
        <v>0</v>
      </c>
      <c r="J62" s="239">
        <v>18107.911</v>
      </c>
      <c r="K62" s="239">
        <v>162971.19899999999</v>
      </c>
    </row>
    <row r="63" spans="1:12">
      <c r="A63" s="178" t="s">
        <v>50</v>
      </c>
    </row>
    <row r="64" spans="1:12" ht="16.5" thickBot="1">
      <c r="E64" s="202">
        <f>SUM(E61:E62)</f>
        <v>252425.37</v>
      </c>
      <c r="F64" s="202">
        <f t="shared" ref="F64:K64" si="9">SUM(F61:F62)</f>
        <v>0</v>
      </c>
      <c r="G64" s="202">
        <f t="shared" si="9"/>
        <v>252425.37</v>
      </c>
      <c r="H64" s="202">
        <f t="shared" si="9"/>
        <v>25242.537</v>
      </c>
      <c r="I64" s="202">
        <f t="shared" si="9"/>
        <v>0</v>
      </c>
      <c r="J64" s="202">
        <f t="shared" si="9"/>
        <v>25242.537</v>
      </c>
      <c r="K64" s="202">
        <f t="shared" si="9"/>
        <v>227182.83299999998</v>
      </c>
    </row>
    <row r="65" ht="15.75" thickTop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workbookViewId="0"/>
  </sheetViews>
  <sheetFormatPr baseColWidth="10" defaultRowHeight="15"/>
  <cols>
    <col min="1" max="1" width="24.5703125" style="176" bestFit="1" customWidth="1"/>
    <col min="2" max="2" width="11.5703125" style="176" bestFit="1" customWidth="1"/>
    <col min="3" max="16384" width="11.42578125" style="176"/>
  </cols>
  <sheetData>
    <row r="1" spans="1:5">
      <c r="A1" s="241" t="s">
        <v>331</v>
      </c>
      <c r="B1" s="241"/>
      <c r="C1" s="242"/>
      <c r="D1" s="243"/>
      <c r="E1" s="243"/>
    </row>
    <row r="2" spans="1:5">
      <c r="A2" s="241" t="s">
        <v>332</v>
      </c>
      <c r="B2" s="241"/>
      <c r="C2" s="242"/>
      <c r="D2" s="243"/>
      <c r="E2" s="243"/>
    </row>
    <row r="3" spans="1:5">
      <c r="A3" s="241" t="s">
        <v>343</v>
      </c>
      <c r="B3" s="244" t="s">
        <v>314</v>
      </c>
      <c r="C3" s="242"/>
      <c r="D3" s="243"/>
      <c r="E3" s="243"/>
    </row>
    <row r="4" spans="1:5">
      <c r="A4" s="242"/>
      <c r="B4" s="242"/>
      <c r="C4" s="242"/>
      <c r="D4" s="243"/>
      <c r="E4" s="243"/>
    </row>
    <row r="5" spans="1:5">
      <c r="A5" s="242" t="s">
        <v>333</v>
      </c>
      <c r="B5" s="242" t="s">
        <v>334</v>
      </c>
      <c r="C5" s="242"/>
      <c r="D5" s="243"/>
      <c r="E5" s="243"/>
    </row>
    <row r="6" spans="1:5">
      <c r="A6" s="243" t="s">
        <v>335</v>
      </c>
      <c r="B6" s="245">
        <f>76356.38+10570.88</f>
        <v>86927.260000000009</v>
      </c>
      <c r="C6" s="243"/>
      <c r="D6" s="243"/>
      <c r="E6" s="243"/>
    </row>
    <row r="7" spans="1:5">
      <c r="A7" s="243" t="s">
        <v>336</v>
      </c>
      <c r="B7" s="245">
        <v>5384.85</v>
      </c>
      <c r="C7" s="243"/>
      <c r="D7" s="243"/>
      <c r="E7" s="243"/>
    </row>
    <row r="8" spans="1:5">
      <c r="A8" s="243" t="s">
        <v>337</v>
      </c>
      <c r="B8" s="245">
        <v>12228.49</v>
      </c>
      <c r="C8" s="243"/>
      <c r="D8" s="243"/>
      <c r="E8" s="243"/>
    </row>
    <row r="9" spans="1:5">
      <c r="A9" s="243" t="s">
        <v>338</v>
      </c>
      <c r="B9" s="245">
        <v>68475.27</v>
      </c>
      <c r="C9" s="243"/>
      <c r="D9" s="243"/>
      <c r="E9" s="243"/>
    </row>
    <row r="10" spans="1:5">
      <c r="A10" s="243" t="s">
        <v>339</v>
      </c>
      <c r="B10" s="245">
        <v>13565.91</v>
      </c>
      <c r="C10" s="243"/>
      <c r="D10" s="246"/>
      <c r="E10" s="243"/>
    </row>
    <row r="11" spans="1:5">
      <c r="A11" s="243" t="s">
        <v>340</v>
      </c>
      <c r="B11" s="245">
        <f>34071.84+16817.12</f>
        <v>50888.959999999992</v>
      </c>
      <c r="C11" s="243"/>
      <c r="D11" s="243"/>
      <c r="E11" s="243"/>
    </row>
    <row r="12" spans="1:5">
      <c r="A12" s="243" t="s">
        <v>341</v>
      </c>
      <c r="B12" s="247">
        <v>0</v>
      </c>
      <c r="C12" s="243"/>
      <c r="D12" s="243"/>
      <c r="E12" s="243"/>
    </row>
    <row r="13" spans="1:5" ht="15.75" thickBot="1">
      <c r="A13" s="243" t="s">
        <v>342</v>
      </c>
      <c r="B13" s="248">
        <v>48344.12</v>
      </c>
      <c r="C13" s="243"/>
      <c r="D13" s="243"/>
      <c r="E13" s="243"/>
    </row>
    <row r="14" spans="1:5">
      <c r="A14" s="243"/>
      <c r="B14" s="249">
        <f>SUM(B6:B13)</f>
        <v>285814.86000000004</v>
      </c>
      <c r="C14" s="243"/>
      <c r="D14" s="243"/>
      <c r="E14" s="243"/>
    </row>
    <row r="15" spans="1:5" ht="15.75" thickBot="1">
      <c r="A15" s="243"/>
      <c r="B15" s="250">
        <f>B14*0.16</f>
        <v>45730.377600000007</v>
      </c>
      <c r="C15" s="243"/>
      <c r="D15" s="243"/>
      <c r="E15" s="243"/>
    </row>
    <row r="16" spans="1:5" ht="15.75" thickTop="1">
      <c r="A16" s="243"/>
      <c r="B16" s="251">
        <f>+B14+B15</f>
        <v>331545.23760000005</v>
      </c>
      <c r="C16" s="243"/>
      <c r="D16" s="243"/>
      <c r="E16" s="243"/>
    </row>
    <row r="17" spans="1:5">
      <c r="A17" s="243"/>
      <c r="B17" s="245">
        <v>331545.25</v>
      </c>
      <c r="C17" s="243"/>
      <c r="D17" s="243"/>
      <c r="E17" s="243"/>
    </row>
    <row r="18" spans="1:5">
      <c r="A18" s="243"/>
      <c r="B18" s="245">
        <f>B16-B17</f>
        <v>-1.2399999948684126E-2</v>
      </c>
      <c r="C18" s="243"/>
      <c r="D18" s="243"/>
      <c r="E18" s="243"/>
    </row>
    <row r="19" spans="1:5">
      <c r="A19" s="243"/>
      <c r="B19" s="245"/>
      <c r="C19" s="243"/>
      <c r="D19" s="243"/>
      <c r="E19" s="243"/>
    </row>
    <row r="20" spans="1:5">
      <c r="A20" s="243"/>
      <c r="B20" s="243"/>
      <c r="C20" s="243"/>
      <c r="D20" s="243"/>
      <c r="E20" s="243"/>
    </row>
    <row r="23" spans="1:5">
      <c r="A23" s="241" t="s">
        <v>331</v>
      </c>
      <c r="B23" s="241"/>
      <c r="C23" s="242"/>
      <c r="D23" s="243"/>
      <c r="E23" s="243"/>
    </row>
    <row r="24" spans="1:5">
      <c r="A24" s="241" t="s">
        <v>332</v>
      </c>
      <c r="B24" s="241"/>
      <c r="C24" s="242"/>
      <c r="D24" s="243"/>
      <c r="E24" s="243"/>
    </row>
    <row r="25" spans="1:5">
      <c r="A25" s="241" t="s">
        <v>343</v>
      </c>
      <c r="B25" s="244" t="s">
        <v>314</v>
      </c>
      <c r="C25" s="242"/>
      <c r="D25" s="243"/>
      <c r="E25" s="243"/>
    </row>
    <row r="26" spans="1:5">
      <c r="A26" s="242"/>
      <c r="B26" s="242"/>
      <c r="C26" s="242"/>
      <c r="D26" s="243"/>
      <c r="E26" s="243"/>
    </row>
    <row r="27" spans="1:5">
      <c r="A27" s="242" t="s">
        <v>333</v>
      </c>
      <c r="B27" s="242" t="s">
        <v>334</v>
      </c>
      <c r="C27" s="242"/>
      <c r="D27" s="243"/>
      <c r="E27" s="243"/>
    </row>
    <row r="28" spans="1:5">
      <c r="A28" s="243" t="s">
        <v>335</v>
      </c>
      <c r="B28" s="245">
        <v>324722.86</v>
      </c>
      <c r="C28" s="243"/>
      <c r="D28" s="243"/>
      <c r="E28" s="243"/>
    </row>
    <row r="29" spans="1:5">
      <c r="A29" s="243" t="s">
        <v>336</v>
      </c>
      <c r="B29" s="245">
        <v>24797.5</v>
      </c>
      <c r="C29" s="243"/>
      <c r="D29" s="243"/>
      <c r="E29" s="243"/>
    </row>
    <row r="30" spans="1:5">
      <c r="A30" s="243" t="s">
        <v>337</v>
      </c>
      <c r="B30" s="245">
        <v>30817.53</v>
      </c>
      <c r="C30" s="243"/>
      <c r="D30" s="243"/>
      <c r="E30" s="243"/>
    </row>
    <row r="31" spans="1:5">
      <c r="A31" s="243" t="s">
        <v>338</v>
      </c>
      <c r="B31" s="245">
        <v>59775.31</v>
      </c>
      <c r="C31" s="243"/>
      <c r="D31" s="243"/>
      <c r="E31" s="243"/>
    </row>
    <row r="32" spans="1:5">
      <c r="A32" s="243" t="s">
        <v>339</v>
      </c>
      <c r="B32" s="245">
        <v>22437.87</v>
      </c>
      <c r="C32" s="243"/>
      <c r="D32" s="246"/>
      <c r="E32" s="243"/>
    </row>
    <row r="33" spans="1:5">
      <c r="A33" s="243" t="s">
        <v>340</v>
      </c>
      <c r="B33" s="245">
        <v>48816.76</v>
      </c>
      <c r="C33" s="243"/>
      <c r="D33" s="243"/>
      <c r="E33" s="243"/>
    </row>
    <row r="34" spans="1:5">
      <c r="A34" s="243" t="s">
        <v>341</v>
      </c>
      <c r="B34" s="247">
        <v>0</v>
      </c>
      <c r="C34" s="243"/>
      <c r="D34" s="243"/>
      <c r="E34" s="243"/>
    </row>
    <row r="35" spans="1:5" ht="15.75" thickBot="1">
      <c r="A35" s="243" t="s">
        <v>342</v>
      </c>
      <c r="B35" s="248">
        <v>0</v>
      </c>
      <c r="C35" s="243"/>
      <c r="D35" s="243"/>
      <c r="E35" s="243"/>
    </row>
    <row r="36" spans="1:5">
      <c r="A36" s="243"/>
      <c r="B36" s="249">
        <f>SUM(B28:B35)</f>
        <v>511367.83</v>
      </c>
      <c r="C36" s="243"/>
      <c r="D36" s="243"/>
      <c r="E36" s="243"/>
    </row>
    <row r="37" spans="1:5" ht="15.75" thickBot="1">
      <c r="A37" s="243"/>
      <c r="B37" s="250">
        <f>B36*0.16</f>
        <v>81818.852800000008</v>
      </c>
      <c r="C37" s="243"/>
      <c r="D37" s="243"/>
      <c r="E37" s="243"/>
    </row>
    <row r="38" spans="1:5" ht="15.75" thickTop="1">
      <c r="A38" s="243"/>
      <c r="B38" s="251">
        <f>+B36+B37</f>
        <v>593186.68280000007</v>
      </c>
      <c r="C38" s="243"/>
      <c r="D38" s="243"/>
      <c r="E38" s="243"/>
    </row>
    <row r="39" spans="1:5">
      <c r="A39" s="243"/>
      <c r="B39" s="245">
        <v>593186.68000000005</v>
      </c>
      <c r="C39" s="243"/>
      <c r="D39" s="243"/>
      <c r="E39" s="243"/>
    </row>
    <row r="40" spans="1:5">
      <c r="A40" s="243"/>
      <c r="B40" s="245">
        <f>B38-B39</f>
        <v>2.8000000165775418E-3</v>
      </c>
      <c r="C40" s="243"/>
      <c r="D40" s="243"/>
      <c r="E40" s="243"/>
    </row>
    <row r="41" spans="1:5">
      <c r="A41" s="243"/>
      <c r="B41" s="245"/>
      <c r="C41" s="243"/>
      <c r="D41" s="243"/>
      <c r="E41" s="243"/>
    </row>
    <row r="42" spans="1:5">
      <c r="A42" s="243"/>
      <c r="B42" s="243"/>
      <c r="C42" s="243"/>
      <c r="D42" s="243"/>
      <c r="E42" s="2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0"/>
  <sheetViews>
    <sheetView tabSelected="1" workbookViewId="0">
      <selection activeCell="E55" sqref="E55"/>
    </sheetView>
  </sheetViews>
  <sheetFormatPr baseColWidth="10" defaultRowHeight="15"/>
  <cols>
    <col min="1" max="1" width="40.140625" bestFit="1" customWidth="1"/>
    <col min="3" max="3" width="11.5703125" bestFit="1" customWidth="1"/>
  </cols>
  <sheetData>
    <row r="1" spans="1:7">
      <c r="A1" s="266" t="s">
        <v>345</v>
      </c>
      <c r="B1" s="267" t="s">
        <v>346</v>
      </c>
      <c r="C1" s="267"/>
      <c r="D1" s="268" t="s">
        <v>304</v>
      </c>
      <c r="E1" s="267" t="s">
        <v>347</v>
      </c>
      <c r="F1" s="267"/>
      <c r="G1" s="268" t="s">
        <v>162</v>
      </c>
    </row>
    <row r="2" spans="1:7">
      <c r="A2" s="266"/>
      <c r="B2" s="269" t="s">
        <v>348</v>
      </c>
      <c r="C2" s="269" t="s">
        <v>169</v>
      </c>
      <c r="D2" s="268"/>
      <c r="E2" s="269" t="s">
        <v>348</v>
      </c>
      <c r="F2" s="269" t="s">
        <v>169</v>
      </c>
      <c r="G2" s="268"/>
    </row>
    <row r="3" spans="1:7">
      <c r="A3" s="270" t="str">
        <f>FISCAL!D12</f>
        <v>Almanza Martinez Maribel</v>
      </c>
      <c r="B3" s="271">
        <f>FISCAL!R12</f>
        <v>186.86999999999944</v>
      </c>
      <c r="C3" s="271">
        <f>SINDICATO!K12</f>
        <v>11466.783000000001</v>
      </c>
      <c r="D3" s="271">
        <f>B3+C3</f>
        <v>11653.653</v>
      </c>
      <c r="E3" s="271">
        <v>186.87</v>
      </c>
      <c r="F3" s="271">
        <v>11466.78</v>
      </c>
      <c r="G3" s="271">
        <f>+E3+F3-D3</f>
        <v>-2.999999998792191E-3</v>
      </c>
    </row>
    <row r="4" spans="1:7">
      <c r="A4" s="270" t="str">
        <f>FISCAL!D13</f>
        <v>Avendaño Jauregui Mauricio</v>
      </c>
      <c r="B4" s="271">
        <f>FISCAL!R13</f>
        <v>0</v>
      </c>
      <c r="C4" s="271">
        <f>SINDICATO!K13</f>
        <v>0</v>
      </c>
      <c r="D4" s="271">
        <f t="shared" ref="D4:D60" si="0">B4+C4</f>
        <v>0</v>
      </c>
      <c r="E4" s="271"/>
      <c r="F4" s="271"/>
      <c r="G4" s="271">
        <f t="shared" ref="G4:G60" si="1">+E4+F4-D4</f>
        <v>0</v>
      </c>
    </row>
    <row r="5" spans="1:7">
      <c r="A5" s="270" t="str">
        <f>FISCAL!D14</f>
        <v>Baez Monroy Elizabeth</v>
      </c>
      <c r="B5" s="271">
        <f>FISCAL!R14</f>
        <v>2385.27</v>
      </c>
      <c r="C5" s="271">
        <f>SINDICATO!K14</f>
        <v>1842.75</v>
      </c>
      <c r="D5" s="271">
        <f t="shared" si="0"/>
        <v>4228.0200000000004</v>
      </c>
      <c r="E5" s="271">
        <v>2385.27</v>
      </c>
      <c r="F5" s="271">
        <v>1842.75</v>
      </c>
      <c r="G5" s="271">
        <f t="shared" si="1"/>
        <v>0</v>
      </c>
    </row>
    <row r="6" spans="1:7">
      <c r="A6" s="270" t="str">
        <f>FISCAL!D15</f>
        <v>Baltazar Cruz Desiree De Jesus</v>
      </c>
      <c r="B6" s="271">
        <f>FISCAL!R15</f>
        <v>1903.27</v>
      </c>
      <c r="C6" s="271">
        <f>SINDICATO!K15</f>
        <v>3442.5</v>
      </c>
      <c r="D6" s="271">
        <f t="shared" si="0"/>
        <v>5345.77</v>
      </c>
      <c r="E6" s="271">
        <v>1903.27</v>
      </c>
      <c r="F6" s="271">
        <v>3442.5</v>
      </c>
      <c r="G6" s="271">
        <f t="shared" si="1"/>
        <v>0</v>
      </c>
    </row>
    <row r="7" spans="1:7">
      <c r="A7" s="270" t="str">
        <f>FISCAL!D16</f>
        <v>Camacho Rivera Martha Sarahi</v>
      </c>
      <c r="B7" s="271">
        <f>FISCAL!R16</f>
        <v>2385.27</v>
      </c>
      <c r="C7" s="271">
        <f>SINDICATO!K16</f>
        <v>6914.5379999999996</v>
      </c>
      <c r="D7" s="271">
        <f t="shared" si="0"/>
        <v>9299.8079999999991</v>
      </c>
      <c r="E7" s="271">
        <v>2385.27</v>
      </c>
      <c r="F7" s="271">
        <v>6914.54</v>
      </c>
      <c r="G7" s="271">
        <f t="shared" si="1"/>
        <v>2.0000000004074536E-3</v>
      </c>
    </row>
    <row r="8" spans="1:7">
      <c r="A8" s="270" t="str">
        <f>FISCAL!D17</f>
        <v>Campos Sancen Luis Felipe</v>
      </c>
      <c r="B8" s="271">
        <f>FISCAL!R17</f>
        <v>5438.47</v>
      </c>
      <c r="C8" s="271">
        <f>SINDICATO!K17</f>
        <v>900</v>
      </c>
      <c r="D8" s="271">
        <f t="shared" si="0"/>
        <v>6338.47</v>
      </c>
      <c r="E8" s="271">
        <v>5438.47</v>
      </c>
      <c r="F8" s="271">
        <v>900</v>
      </c>
      <c r="G8" s="271">
        <f t="shared" si="1"/>
        <v>0</v>
      </c>
    </row>
    <row r="9" spans="1:7">
      <c r="A9" s="270" t="str">
        <f>FISCAL!D18</f>
        <v>Castillo Galindo Marlene Samantha Graciela</v>
      </c>
      <c r="B9" s="271">
        <f>FISCAL!R18</f>
        <v>2630.07</v>
      </c>
      <c r="C9" s="271">
        <f>SINDICATO!K18</f>
        <v>0</v>
      </c>
      <c r="D9" s="271">
        <f t="shared" si="0"/>
        <v>2630.07</v>
      </c>
      <c r="E9" s="271">
        <v>2630.07</v>
      </c>
      <c r="F9" s="271"/>
      <c r="G9" s="271">
        <f t="shared" si="1"/>
        <v>0</v>
      </c>
    </row>
    <row r="10" spans="1:7">
      <c r="A10" s="270" t="str">
        <f>FISCAL!D19</f>
        <v>Cruz Mendoza Salomon</v>
      </c>
      <c r="B10" s="271">
        <f>FISCAL!R19</f>
        <v>4960.07</v>
      </c>
      <c r="C10" s="271">
        <f>SINDICATO!K19</f>
        <v>0</v>
      </c>
      <c r="D10" s="271">
        <f t="shared" si="0"/>
        <v>4960.07</v>
      </c>
      <c r="E10" s="271">
        <v>4960.07</v>
      </c>
      <c r="F10" s="271"/>
      <c r="G10" s="271">
        <f t="shared" si="1"/>
        <v>0</v>
      </c>
    </row>
    <row r="11" spans="1:7">
      <c r="A11" s="270" t="str">
        <f>FISCAL!D20</f>
        <v>Del Alto Castellanos Xochitl</v>
      </c>
      <c r="B11" s="271">
        <f>FISCAL!R20</f>
        <v>2630.07</v>
      </c>
      <c r="C11" s="271">
        <f>SINDICATO!K20</f>
        <v>0</v>
      </c>
      <c r="D11" s="271">
        <f t="shared" si="0"/>
        <v>2630.07</v>
      </c>
      <c r="E11" s="271">
        <v>2630.07</v>
      </c>
      <c r="F11" s="271"/>
      <c r="G11" s="271">
        <f t="shared" si="1"/>
        <v>0</v>
      </c>
    </row>
    <row r="12" spans="1:7">
      <c r="A12" s="270" t="str">
        <f>FISCAL!D21</f>
        <v>Diaz Rojas Rocio Janet</v>
      </c>
      <c r="B12" s="271">
        <f>FISCAL!R21</f>
        <v>1089.2700000000004</v>
      </c>
      <c r="C12" s="271">
        <f>SINDICATO!K21</f>
        <v>29198.223000000002</v>
      </c>
      <c r="D12" s="271">
        <f t="shared" si="0"/>
        <v>30287.493000000002</v>
      </c>
      <c r="E12" s="271">
        <v>1089.27</v>
      </c>
      <c r="F12" s="271">
        <v>29198.22</v>
      </c>
      <c r="G12" s="271">
        <f t="shared" si="1"/>
        <v>-3.0000000006111804E-3</v>
      </c>
    </row>
    <row r="13" spans="1:7">
      <c r="A13" s="270" t="str">
        <f>FISCAL!D22</f>
        <v>Escamilla Lopez Rogelio</v>
      </c>
      <c r="B13" s="271">
        <f>FISCAL!R22</f>
        <v>3192.4700000000003</v>
      </c>
      <c r="C13" s="271">
        <f>SINDICATO!K22</f>
        <v>0</v>
      </c>
      <c r="D13" s="271">
        <f t="shared" si="0"/>
        <v>3192.4700000000003</v>
      </c>
      <c r="E13" s="271">
        <v>3192.47</v>
      </c>
      <c r="F13" s="271"/>
      <c r="G13" s="271">
        <f t="shared" si="1"/>
        <v>0</v>
      </c>
    </row>
    <row r="14" spans="1:7">
      <c r="A14" s="270" t="str">
        <f>FISCAL!D23</f>
        <v>Gallegos Morales Roberto</v>
      </c>
      <c r="B14" s="271">
        <f>FISCAL!R23</f>
        <v>2102.2700000000004</v>
      </c>
      <c r="C14" s="271">
        <f>SINDICATO!K23</f>
        <v>0</v>
      </c>
      <c r="D14" s="271">
        <f t="shared" si="0"/>
        <v>2102.2700000000004</v>
      </c>
      <c r="E14" s="271">
        <v>2102.27</v>
      </c>
      <c r="F14" s="271"/>
      <c r="G14" s="271">
        <f t="shared" si="1"/>
        <v>0</v>
      </c>
    </row>
    <row r="15" spans="1:7">
      <c r="A15" s="270" t="str">
        <f>FISCAL!D24</f>
        <v>Gallegos Rios Octavio Alberto</v>
      </c>
      <c r="B15" s="271">
        <f>FISCAL!R24</f>
        <v>9855.67</v>
      </c>
      <c r="C15" s="271">
        <f>SINDICATO!K61</f>
        <v>64211.633999999991</v>
      </c>
      <c r="D15" s="271">
        <f t="shared" si="0"/>
        <v>74067.303999999989</v>
      </c>
      <c r="E15" s="271">
        <v>9855.67</v>
      </c>
      <c r="F15" s="271"/>
      <c r="G15" s="271">
        <f t="shared" si="1"/>
        <v>-64211.633999999991</v>
      </c>
    </row>
    <row r="16" spans="1:7">
      <c r="A16" s="270" t="str">
        <f>FISCAL!D25</f>
        <v>Guerra Aguilar Alejandro</v>
      </c>
      <c r="B16" s="271">
        <f>FISCAL!R25</f>
        <v>2372.27</v>
      </c>
      <c r="C16" s="271">
        <f>SINDICATO!K25</f>
        <v>10230.255000000001</v>
      </c>
      <c r="D16" s="271">
        <f t="shared" si="0"/>
        <v>12602.525000000001</v>
      </c>
      <c r="E16" s="271">
        <v>2372.27</v>
      </c>
      <c r="F16" s="271">
        <v>10230.26</v>
      </c>
      <c r="G16" s="271">
        <f t="shared" si="1"/>
        <v>4.9999999991996447E-3</v>
      </c>
    </row>
    <row r="17" spans="1:7">
      <c r="A17" s="270" t="str">
        <f>FISCAL!D26</f>
        <v>Guillen Ayala Juan Carlos</v>
      </c>
      <c r="B17" s="271">
        <f>FISCAL!R26</f>
        <v>2145.0700000000002</v>
      </c>
      <c r="C17" s="271">
        <f>SINDICATO!K26</f>
        <v>20475</v>
      </c>
      <c r="D17" s="271">
        <f t="shared" si="0"/>
        <v>22620.07</v>
      </c>
      <c r="E17" s="271">
        <v>2145.0700000000002</v>
      </c>
      <c r="F17" s="271">
        <v>20475</v>
      </c>
      <c r="G17" s="271">
        <f t="shared" si="1"/>
        <v>0</v>
      </c>
    </row>
    <row r="18" spans="1:7">
      <c r="A18" s="270" t="str">
        <f>FISCAL!D27</f>
        <v>Hernandez Espinoza Victor Benjami</v>
      </c>
      <c r="B18" s="271">
        <f>FISCAL!R27</f>
        <v>15203.469999999998</v>
      </c>
      <c r="C18" s="271">
        <f>SINDICATO!K62</f>
        <v>162971.19899999999</v>
      </c>
      <c r="D18" s="271">
        <f t="shared" si="0"/>
        <v>178174.66899999999</v>
      </c>
      <c r="E18" s="271">
        <v>15203.47</v>
      </c>
      <c r="F18" s="271"/>
      <c r="G18" s="271">
        <f t="shared" si="1"/>
        <v>-162971.19899999999</v>
      </c>
    </row>
    <row r="19" spans="1:7">
      <c r="A19" s="270" t="str">
        <f>FISCAL!D28</f>
        <v>Herrera Almaraz Blanca Sofia</v>
      </c>
      <c r="B19" s="271">
        <f>FISCAL!R28</f>
        <v>2385.27</v>
      </c>
      <c r="C19" s="271">
        <f>SINDICATO!K28</f>
        <v>4738.5</v>
      </c>
      <c r="D19" s="271">
        <f t="shared" si="0"/>
        <v>7123.77</v>
      </c>
      <c r="E19" s="271">
        <v>2385.27</v>
      </c>
      <c r="F19" s="271">
        <v>4738.5</v>
      </c>
      <c r="G19" s="271">
        <f t="shared" si="1"/>
        <v>0</v>
      </c>
    </row>
    <row r="20" spans="1:7">
      <c r="A20" s="270" t="str">
        <f>FISCAL!D29</f>
        <v>Jimenez Suarez Ludivina</v>
      </c>
      <c r="B20" s="271">
        <f>FISCAL!R29</f>
        <v>12143.67</v>
      </c>
      <c r="C20" s="271">
        <f>SINDICATO!K29</f>
        <v>12501</v>
      </c>
      <c r="D20" s="271">
        <f t="shared" si="0"/>
        <v>24644.67</v>
      </c>
      <c r="E20" s="271">
        <v>12143.67</v>
      </c>
      <c r="F20" s="271">
        <v>12501</v>
      </c>
      <c r="G20" s="271">
        <f t="shared" si="1"/>
        <v>0</v>
      </c>
    </row>
    <row r="21" spans="1:7">
      <c r="A21" s="270" t="str">
        <f>FISCAL!D30</f>
        <v>Lizardi Urzua Arizbeth</v>
      </c>
      <c r="B21" s="271">
        <f>FISCAL!R30</f>
        <v>4957.67</v>
      </c>
      <c r="C21" s="271">
        <f>SINDICATO!K30</f>
        <v>10697.958000000001</v>
      </c>
      <c r="D21" s="271">
        <f t="shared" si="0"/>
        <v>15655.628000000001</v>
      </c>
      <c r="E21" s="271">
        <v>4957.67</v>
      </c>
      <c r="F21" s="271">
        <v>10697.96</v>
      </c>
      <c r="G21" s="271">
        <f t="shared" si="1"/>
        <v>1.9999999985884642E-3</v>
      </c>
    </row>
    <row r="22" spans="1:7">
      <c r="A22" s="270" t="str">
        <f>FISCAL!D31</f>
        <v>Loyola Acosta Carlos Alberto</v>
      </c>
      <c r="B22" s="271">
        <f>FISCAL!R31</f>
        <v>3300.07</v>
      </c>
      <c r="C22" s="271">
        <f>SINDICATO!K31</f>
        <v>0</v>
      </c>
      <c r="D22" s="271">
        <f t="shared" si="0"/>
        <v>3300.07</v>
      </c>
      <c r="E22" s="271">
        <v>3300.07</v>
      </c>
      <c r="F22" s="271"/>
      <c r="G22" s="271">
        <f t="shared" si="1"/>
        <v>0</v>
      </c>
    </row>
    <row r="23" spans="1:7">
      <c r="A23" s="270" t="str">
        <f>FISCAL!D32</f>
        <v>Mandujano Estrada  Ilse Georgina</v>
      </c>
      <c r="B23" s="271">
        <f>FISCAL!R32</f>
        <v>2385.27</v>
      </c>
      <c r="C23" s="271">
        <f>SINDICATO!K32</f>
        <v>2742.75</v>
      </c>
      <c r="D23" s="271">
        <f t="shared" si="0"/>
        <v>5128.0200000000004</v>
      </c>
      <c r="E23" s="271">
        <v>2385.27</v>
      </c>
      <c r="F23" s="271">
        <v>2742.75</v>
      </c>
      <c r="G23" s="271">
        <f t="shared" si="1"/>
        <v>0</v>
      </c>
    </row>
    <row r="24" spans="1:7">
      <c r="A24" s="270" t="str">
        <f>FISCAL!D33</f>
        <v>Manjarrez Moreno Julio Cesar</v>
      </c>
      <c r="B24" s="271">
        <f>FISCAL!R33</f>
        <v>1778.6699999999996</v>
      </c>
      <c r="C24" s="271">
        <f>SINDICATO!K33</f>
        <v>0</v>
      </c>
      <c r="D24" s="271">
        <f t="shared" si="0"/>
        <v>1778.6699999999996</v>
      </c>
      <c r="E24" s="271">
        <v>1778.67</v>
      </c>
      <c r="F24" s="271"/>
      <c r="G24" s="271">
        <f t="shared" si="1"/>
        <v>0</v>
      </c>
    </row>
    <row r="25" spans="1:7">
      <c r="A25" s="270" t="str">
        <f>FISCAL!D34</f>
        <v>Martinez Ortiz Josue Alejandro</v>
      </c>
      <c r="B25" s="271">
        <f>FISCAL!R34</f>
        <v>2803.47</v>
      </c>
      <c r="C25" s="271">
        <f>SINDICATO!K34</f>
        <v>900</v>
      </c>
      <c r="D25" s="271">
        <f t="shared" si="0"/>
        <v>3703.47</v>
      </c>
      <c r="E25" s="271">
        <v>2803.47</v>
      </c>
      <c r="F25" s="271">
        <v>900</v>
      </c>
      <c r="G25" s="271">
        <f t="shared" si="1"/>
        <v>0</v>
      </c>
    </row>
    <row r="26" spans="1:7">
      <c r="A26" s="270" t="str">
        <f>FISCAL!D35</f>
        <v>Mejia Villegas Nallely Beatriz</v>
      </c>
      <c r="B26" s="271">
        <f>FISCAL!R35</f>
        <v>2183.0700000000002</v>
      </c>
      <c r="C26" s="271">
        <f>SINDICATO!K35</f>
        <v>1633.5</v>
      </c>
      <c r="D26" s="271">
        <f t="shared" si="0"/>
        <v>3816.57</v>
      </c>
      <c r="E26" s="271">
        <v>2183.0700000000002</v>
      </c>
      <c r="F26" s="271">
        <v>1633.5</v>
      </c>
      <c r="G26" s="271">
        <f t="shared" si="1"/>
        <v>0</v>
      </c>
    </row>
    <row r="27" spans="1:7">
      <c r="A27" s="270" t="str">
        <f>FISCAL!D36</f>
        <v>Morales Naif Diana</v>
      </c>
      <c r="B27" s="271">
        <f>FISCAL!R36</f>
        <v>0</v>
      </c>
      <c r="C27" s="271">
        <f>SINDICATO!K36</f>
        <v>0</v>
      </c>
      <c r="D27" s="271">
        <f t="shared" si="0"/>
        <v>0</v>
      </c>
      <c r="E27" s="271"/>
      <c r="F27" s="271"/>
      <c r="G27" s="271">
        <f t="shared" si="1"/>
        <v>0</v>
      </c>
    </row>
    <row r="28" spans="1:7">
      <c r="A28" s="270" t="str">
        <f>FISCAL!D37</f>
        <v>Muñoz Macias Marco Alfredo</v>
      </c>
      <c r="B28" s="271">
        <f>FISCAL!R37</f>
        <v>1749.07</v>
      </c>
      <c r="C28" s="271">
        <f>SINDICATO!K37</f>
        <v>5558.1480000000001</v>
      </c>
      <c r="D28" s="271">
        <f t="shared" si="0"/>
        <v>7307.2179999999998</v>
      </c>
      <c r="E28" s="271">
        <v>1749.07</v>
      </c>
      <c r="F28" s="271">
        <v>5558.15</v>
      </c>
      <c r="G28" s="271">
        <f t="shared" si="1"/>
        <v>1.9999999994979589E-3</v>
      </c>
    </row>
    <row r="29" spans="1:7">
      <c r="A29" s="270" t="str">
        <f>FISCAL!D38</f>
        <v>Muñoz Martinez Patricia Vanessa</v>
      </c>
      <c r="B29" s="271">
        <f>FISCAL!R38</f>
        <v>2803.47</v>
      </c>
      <c r="C29" s="271">
        <f>SINDICATO!K38</f>
        <v>0</v>
      </c>
      <c r="D29" s="271">
        <f t="shared" si="0"/>
        <v>2803.47</v>
      </c>
      <c r="E29" s="271">
        <v>2803.47</v>
      </c>
      <c r="F29" s="271"/>
      <c r="G29" s="271">
        <f t="shared" si="1"/>
        <v>0</v>
      </c>
    </row>
    <row r="30" spans="1:7">
      <c r="A30" s="270" t="str">
        <f>FISCAL!D39</f>
        <v>Nava Ambriz Thania</v>
      </c>
      <c r="B30" s="271">
        <f>FISCAL!R39</f>
        <v>2586.87</v>
      </c>
      <c r="C30" s="271">
        <f>SINDICATO!K39</f>
        <v>4546.2870000000003</v>
      </c>
      <c r="D30" s="271">
        <f t="shared" si="0"/>
        <v>7133.1570000000002</v>
      </c>
      <c r="E30" s="271">
        <v>2586.87</v>
      </c>
      <c r="F30" s="271">
        <v>4546.29</v>
      </c>
      <c r="G30" s="271">
        <f t="shared" si="1"/>
        <v>2.9999999997016857E-3</v>
      </c>
    </row>
    <row r="31" spans="1:7">
      <c r="A31" s="270" t="str">
        <f>FISCAL!D40</f>
        <v>Navarrete Rodriguez Maria Teresa</v>
      </c>
      <c r="B31" s="271">
        <f>FISCAL!R40</f>
        <v>2071.67</v>
      </c>
      <c r="C31" s="271">
        <f>SINDICATO!K40</f>
        <v>22830.12</v>
      </c>
      <c r="D31" s="271">
        <f t="shared" si="0"/>
        <v>24901.79</v>
      </c>
      <c r="E31" s="271">
        <v>2071.67</v>
      </c>
      <c r="F31" s="271">
        <v>22830.12</v>
      </c>
      <c r="G31" s="271">
        <f t="shared" si="1"/>
        <v>0</v>
      </c>
    </row>
    <row r="32" spans="1:7">
      <c r="A32" s="270" t="str">
        <f>FISCAL!D41</f>
        <v>Navarrete Rodriguez Miguel Angel</v>
      </c>
      <c r="B32" s="271">
        <f>FISCAL!R41</f>
        <v>1976.87</v>
      </c>
      <c r="C32" s="271">
        <f>SINDICATO!K41</f>
        <v>0</v>
      </c>
      <c r="D32" s="271">
        <f t="shared" si="0"/>
        <v>1976.87</v>
      </c>
      <c r="E32" s="271">
        <v>1976.87</v>
      </c>
      <c r="F32" s="271"/>
      <c r="G32" s="271">
        <f t="shared" si="1"/>
        <v>0</v>
      </c>
    </row>
    <row r="33" spans="1:7">
      <c r="A33" s="270" t="str">
        <f>FISCAL!D42</f>
        <v>Navarro Macias Jennifer</v>
      </c>
      <c r="B33" s="271">
        <f>FISCAL!R42</f>
        <v>4681.0700000000006</v>
      </c>
      <c r="C33" s="271">
        <f>SINDICATO!K42</f>
        <v>1350</v>
      </c>
      <c r="D33" s="271">
        <f t="shared" si="0"/>
        <v>6031.0700000000006</v>
      </c>
      <c r="E33" s="271">
        <v>4681.07</v>
      </c>
      <c r="F33" s="271">
        <v>1350</v>
      </c>
      <c r="G33" s="271">
        <f t="shared" si="1"/>
        <v>0</v>
      </c>
    </row>
    <row r="34" spans="1:7">
      <c r="A34" s="270" t="str">
        <f>FISCAL!D43</f>
        <v>Patiño Muñoz Ana Laura</v>
      </c>
      <c r="B34" s="271">
        <f>FISCAL!R43</f>
        <v>5289.67</v>
      </c>
      <c r="C34" s="271">
        <f>SINDICATO!K43</f>
        <v>20537.181</v>
      </c>
      <c r="D34" s="271">
        <f t="shared" si="0"/>
        <v>25826.851000000002</v>
      </c>
      <c r="E34" s="271">
        <v>5289.67</v>
      </c>
      <c r="F34" s="271">
        <v>20537.18</v>
      </c>
      <c r="G34" s="271">
        <f t="shared" si="1"/>
        <v>-1.0000000038417056E-3</v>
      </c>
    </row>
    <row r="35" spans="1:7">
      <c r="A35" s="270" t="str">
        <f>FISCAL!D44</f>
        <v>Salcedo Moreno Janitzy Xochitl</v>
      </c>
      <c r="B35" s="271">
        <f>FISCAL!R44</f>
        <v>2471.67</v>
      </c>
      <c r="C35" s="271">
        <f>SINDICATO!K44</f>
        <v>900</v>
      </c>
      <c r="D35" s="271">
        <f t="shared" si="0"/>
        <v>3371.67</v>
      </c>
      <c r="E35" s="271">
        <v>2471.67</v>
      </c>
      <c r="F35" s="271">
        <v>900</v>
      </c>
      <c r="G35" s="271">
        <f t="shared" si="1"/>
        <v>0</v>
      </c>
    </row>
    <row r="36" spans="1:7">
      <c r="A36" s="270" t="str">
        <f>FISCAL!D45</f>
        <v>Sanchez Escamilla Rosalba</v>
      </c>
      <c r="B36" s="271">
        <f>FISCAL!R45</f>
        <v>1976.6699999999998</v>
      </c>
      <c r="C36" s="271">
        <f>SINDICATO!K45</f>
        <v>13690.017</v>
      </c>
      <c r="D36" s="271">
        <f t="shared" si="0"/>
        <v>15666.687</v>
      </c>
      <c r="E36" s="271">
        <v>1976.67</v>
      </c>
      <c r="F36" s="271">
        <v>13690.02</v>
      </c>
      <c r="G36" s="271">
        <f t="shared" si="1"/>
        <v>3.0000000006111804E-3</v>
      </c>
    </row>
    <row r="37" spans="1:7">
      <c r="A37" s="270" t="str">
        <f>FISCAL!D46</f>
        <v>Sanchez Veana Javier</v>
      </c>
      <c r="B37" s="271">
        <f>FISCAL!R46</f>
        <v>5380.87</v>
      </c>
      <c r="C37" s="271">
        <f>SINDICATO!K46</f>
        <v>14137.019999999999</v>
      </c>
      <c r="D37" s="271">
        <f t="shared" si="0"/>
        <v>19517.89</v>
      </c>
      <c r="E37" s="271">
        <v>5380.87</v>
      </c>
      <c r="F37" s="271">
        <v>14137.02</v>
      </c>
      <c r="G37" s="271">
        <f t="shared" si="1"/>
        <v>0</v>
      </c>
    </row>
    <row r="38" spans="1:7">
      <c r="A38" s="270" t="str">
        <f>FISCAL!D47</f>
        <v>Santana Anaya Gildardo Enrique</v>
      </c>
      <c r="B38" s="271">
        <f>FISCAL!R47</f>
        <v>5248.67</v>
      </c>
      <c r="C38" s="271">
        <f>SINDICATO!K47</f>
        <v>5625</v>
      </c>
      <c r="D38" s="271">
        <f t="shared" si="0"/>
        <v>10873.67</v>
      </c>
      <c r="E38" s="271">
        <v>5248.67</v>
      </c>
      <c r="F38" s="271">
        <v>5625</v>
      </c>
      <c r="G38" s="271">
        <f t="shared" si="1"/>
        <v>0</v>
      </c>
    </row>
    <row r="39" spans="1:7">
      <c r="A39" s="270" t="str">
        <f>FISCAL!D48</f>
        <v>Segura Mejia Diana Janette</v>
      </c>
      <c r="B39" s="271">
        <f>FISCAL!R48</f>
        <v>2183.0700000000002</v>
      </c>
      <c r="C39" s="271">
        <f>SINDICATO!K48</f>
        <v>1170</v>
      </c>
      <c r="D39" s="271">
        <f t="shared" si="0"/>
        <v>3353.07</v>
      </c>
      <c r="E39" s="271">
        <v>2183.0700000000002</v>
      </c>
      <c r="F39" s="271">
        <v>1170</v>
      </c>
      <c r="G39" s="271">
        <f t="shared" si="1"/>
        <v>0</v>
      </c>
    </row>
    <row r="40" spans="1:7">
      <c r="A40" s="270" t="str">
        <f>FISCAL!D49</f>
        <v>Solorzano Juarez Monica Elisa</v>
      </c>
      <c r="B40" s="271">
        <f>FISCAL!R49</f>
        <v>4960.2700000000004</v>
      </c>
      <c r="C40" s="271">
        <f>SINDICATO!K49</f>
        <v>0</v>
      </c>
      <c r="D40" s="271">
        <f t="shared" si="0"/>
        <v>4960.2700000000004</v>
      </c>
      <c r="E40" s="271">
        <v>4960.2700000000004</v>
      </c>
      <c r="F40" s="271"/>
      <c r="G40" s="271">
        <f t="shared" si="1"/>
        <v>0</v>
      </c>
    </row>
    <row r="41" spans="1:7">
      <c r="A41" s="270" t="str">
        <f>FISCAL!D50</f>
        <v>Tierrablanca Sanchez Victor Hugo</v>
      </c>
      <c r="B41" s="271">
        <f>FISCAL!R50</f>
        <v>2534.67</v>
      </c>
      <c r="C41" s="271">
        <f>SINDICATO!K50</f>
        <v>11765.025</v>
      </c>
      <c r="D41" s="271">
        <f t="shared" si="0"/>
        <v>14299.695</v>
      </c>
      <c r="E41" s="271">
        <v>2534.67</v>
      </c>
      <c r="F41" s="271">
        <v>11765.03</v>
      </c>
      <c r="G41" s="271">
        <f t="shared" si="1"/>
        <v>5.0000000010186341E-3</v>
      </c>
    </row>
    <row r="42" spans="1:7">
      <c r="A42" s="270" t="str">
        <f>FISCAL!D51</f>
        <v>Vazquez Amezcua Gilberto Ramon</v>
      </c>
      <c r="B42" s="271">
        <f>FISCAL!R51</f>
        <v>4960.0700000000006</v>
      </c>
      <c r="C42" s="271">
        <f>SINDICATO!K51</f>
        <v>6057.0630000000001</v>
      </c>
      <c r="D42" s="271">
        <f t="shared" si="0"/>
        <v>11017.133000000002</v>
      </c>
      <c r="E42" s="271">
        <v>4960.07</v>
      </c>
      <c r="F42" s="271">
        <v>6057.06</v>
      </c>
      <c r="G42" s="271">
        <f t="shared" si="1"/>
        <v>-3.0000000006111804E-3</v>
      </c>
    </row>
    <row r="43" spans="1:7">
      <c r="A43" s="270" t="str">
        <f>FISCAL!D52</f>
        <v>Vega Fernandez Amalia</v>
      </c>
      <c r="B43" s="271">
        <f>FISCAL!R52</f>
        <v>2955.27</v>
      </c>
      <c r="C43" s="271">
        <f>SINDICATO!K52</f>
        <v>7198.5959999999995</v>
      </c>
      <c r="D43" s="271">
        <f t="shared" si="0"/>
        <v>10153.866</v>
      </c>
      <c r="E43" s="271">
        <v>2955.27</v>
      </c>
      <c r="F43" s="271">
        <v>7198.6</v>
      </c>
      <c r="G43" s="271">
        <f t="shared" si="1"/>
        <v>4.0000000008149073E-3</v>
      </c>
    </row>
    <row r="44" spans="1:7">
      <c r="A44" s="270" t="str">
        <f>FISCAL!D53</f>
        <v>Yerena Martinez Cinthia Guadalupe</v>
      </c>
      <c r="B44" s="271">
        <f>FISCAL!R53</f>
        <v>2999.4700000000003</v>
      </c>
      <c r="C44" s="271">
        <f>SINDICATO!K53</f>
        <v>0</v>
      </c>
      <c r="D44" s="271">
        <f t="shared" si="0"/>
        <v>2999.4700000000003</v>
      </c>
      <c r="E44" s="271">
        <v>2999.47</v>
      </c>
      <c r="F44" s="271"/>
      <c r="G44" s="271">
        <f t="shared" si="1"/>
        <v>0</v>
      </c>
    </row>
    <row r="45" spans="1:7">
      <c r="A45" s="270" t="str">
        <f>FISCAL!D61</f>
        <v>Guerra Franco José Manuel</v>
      </c>
      <c r="B45" s="271">
        <f>FISCAL!R61</f>
        <v>2264.0700000000002</v>
      </c>
      <c r="C45" s="271"/>
      <c r="D45" s="271">
        <f t="shared" si="0"/>
        <v>2264.0700000000002</v>
      </c>
      <c r="E45" s="271">
        <v>2264.0700000000002</v>
      </c>
      <c r="F45" s="271"/>
      <c r="G45" s="271">
        <f t="shared" si="1"/>
        <v>0</v>
      </c>
    </row>
    <row r="46" spans="1:7">
      <c r="A46" s="270" t="str">
        <f>FISCAL!D62</f>
        <v>Guerrero Hernandez Juan Carlos</v>
      </c>
      <c r="B46" s="271">
        <f>FISCAL!R62</f>
        <v>3590.87</v>
      </c>
      <c r="C46" s="271"/>
      <c r="D46" s="271">
        <f t="shared" si="0"/>
        <v>3590.87</v>
      </c>
      <c r="E46" s="271">
        <v>3590.87</v>
      </c>
      <c r="F46" s="271"/>
      <c r="G46" s="271">
        <f t="shared" si="1"/>
        <v>0</v>
      </c>
    </row>
    <row r="47" spans="1:7">
      <c r="A47" s="270" t="str">
        <f>FISCAL!D63</f>
        <v>Guerrero Martinez Juan Pablo</v>
      </c>
      <c r="B47" s="271">
        <f>FISCAL!R63</f>
        <v>3951.0699999999997</v>
      </c>
      <c r="C47" s="271"/>
      <c r="D47" s="271">
        <f t="shared" si="0"/>
        <v>3951.0699999999997</v>
      </c>
      <c r="E47" s="271">
        <v>3951.07</v>
      </c>
      <c r="F47" s="271"/>
      <c r="G47" s="271">
        <f t="shared" si="1"/>
        <v>0</v>
      </c>
    </row>
    <row r="48" spans="1:7">
      <c r="A48" s="270" t="str">
        <f>FISCAL!D64</f>
        <v>Luna Nieto Jose Enrique</v>
      </c>
      <c r="B48" s="271">
        <f>FISCAL!R64</f>
        <v>4069.4700000000003</v>
      </c>
      <c r="C48" s="271"/>
      <c r="D48" s="271">
        <f t="shared" si="0"/>
        <v>4069.4700000000003</v>
      </c>
      <c r="E48" s="271">
        <v>4069.47</v>
      </c>
      <c r="F48" s="271"/>
      <c r="G48" s="271">
        <f t="shared" si="1"/>
        <v>0</v>
      </c>
    </row>
    <row r="49" spans="1:7">
      <c r="A49" s="270" t="str">
        <f>FISCAL!D65</f>
        <v>Maldonado Cruz Carlos Ivan</v>
      </c>
      <c r="B49" s="271">
        <f>FISCAL!R65</f>
        <v>2735.0699999999997</v>
      </c>
      <c r="C49" s="271"/>
      <c r="D49" s="271">
        <f>B49+C49</f>
        <v>2735.0699999999997</v>
      </c>
      <c r="E49" s="271">
        <v>2735.07</v>
      </c>
      <c r="F49" s="271"/>
      <c r="G49" s="271">
        <f t="shared" si="1"/>
        <v>0</v>
      </c>
    </row>
    <row r="50" spans="1:7">
      <c r="A50" s="270" t="str">
        <f>FISCAL!D66</f>
        <v>Martinez Diaz Leobardo Adrian</v>
      </c>
      <c r="B50" s="271">
        <f>FISCAL!R66</f>
        <v>5192.07</v>
      </c>
      <c r="C50" s="271"/>
      <c r="D50" s="271">
        <f t="shared" si="0"/>
        <v>5192.07</v>
      </c>
      <c r="E50" s="271">
        <v>5192.07</v>
      </c>
      <c r="F50" s="271"/>
      <c r="G50" s="271">
        <f t="shared" si="1"/>
        <v>0</v>
      </c>
    </row>
    <row r="51" spans="1:7">
      <c r="A51" s="270" t="str">
        <f>FISCAL!D67</f>
        <v>Martinez Herrera Cristian</v>
      </c>
      <c r="B51" s="271">
        <f>FISCAL!R67</f>
        <v>5110.2700000000004</v>
      </c>
      <c r="C51" s="271"/>
      <c r="D51" s="271">
        <f t="shared" si="0"/>
        <v>5110.2700000000004</v>
      </c>
      <c r="E51" s="271">
        <v>5110.2700000000004</v>
      </c>
      <c r="F51" s="271"/>
      <c r="G51" s="271">
        <f t="shared" si="1"/>
        <v>0</v>
      </c>
    </row>
    <row r="52" spans="1:7">
      <c r="A52" s="270" t="str">
        <f>FISCAL!D68</f>
        <v>Nieves Osornio Silvestre</v>
      </c>
      <c r="B52" s="271">
        <f>FISCAL!R68</f>
        <v>1926.47</v>
      </c>
      <c r="C52" s="271"/>
      <c r="D52" s="271">
        <f t="shared" si="0"/>
        <v>1926.47</v>
      </c>
      <c r="E52" s="271">
        <v>1926.47</v>
      </c>
      <c r="F52" s="271"/>
      <c r="G52" s="271">
        <f t="shared" si="1"/>
        <v>0</v>
      </c>
    </row>
    <row r="53" spans="1:7">
      <c r="A53" s="270">
        <f>FISCAL!D69</f>
        <v>0</v>
      </c>
      <c r="B53" s="271">
        <f>FISCAL!R69</f>
        <v>0</v>
      </c>
      <c r="C53" s="271"/>
      <c r="D53" s="271">
        <f t="shared" si="0"/>
        <v>0</v>
      </c>
      <c r="E53" s="271"/>
      <c r="F53" s="271"/>
      <c r="G53" s="271">
        <f>+E53+F53-D53</f>
        <v>0</v>
      </c>
    </row>
    <row r="54" spans="1:7">
      <c r="A54" s="270" t="str">
        <f>FISCAL!D70</f>
        <v>Prieto Lopez Leobigildo</v>
      </c>
      <c r="B54" s="271">
        <f>FISCAL!R70</f>
        <v>4103.7999999999993</v>
      </c>
      <c r="C54" s="271"/>
      <c r="D54" s="271">
        <f t="shared" si="0"/>
        <v>4103.7999999999993</v>
      </c>
      <c r="E54" s="271">
        <v>4103.8</v>
      </c>
      <c r="F54" s="271"/>
      <c r="G54" s="271">
        <f t="shared" si="1"/>
        <v>0</v>
      </c>
    </row>
    <row r="55" spans="1:7">
      <c r="A55" s="270">
        <f>FISCAL!D71</f>
        <v>0</v>
      </c>
      <c r="B55" s="271">
        <f>FISCAL!R71</f>
        <v>0</v>
      </c>
      <c r="C55" s="271"/>
      <c r="D55" s="271">
        <f t="shared" si="0"/>
        <v>0</v>
      </c>
      <c r="E55" s="271"/>
      <c r="F55" s="271"/>
      <c r="G55" s="271">
        <f t="shared" si="1"/>
        <v>0</v>
      </c>
    </row>
    <row r="56" spans="1:7">
      <c r="A56" s="270" t="str">
        <f>FISCAL!D72</f>
        <v>Rodriguez Nuñez Jose Antonio</v>
      </c>
      <c r="B56" s="271">
        <f>FISCAL!R72</f>
        <v>3301.4700000000003</v>
      </c>
      <c r="C56" s="271"/>
      <c r="D56" s="271">
        <f t="shared" si="0"/>
        <v>3301.4700000000003</v>
      </c>
      <c r="E56" s="271">
        <v>3301.47</v>
      </c>
      <c r="F56" s="271"/>
      <c r="G56" s="271">
        <f t="shared" si="1"/>
        <v>0</v>
      </c>
    </row>
    <row r="57" spans="1:7">
      <c r="A57" s="270" t="str">
        <f>FISCAL!D73</f>
        <v>Salas Correa Victor Eduardo</v>
      </c>
      <c r="B57" s="271">
        <f>FISCAL!R73</f>
        <v>3510.87</v>
      </c>
      <c r="C57" s="271"/>
      <c r="D57" s="271">
        <f t="shared" si="0"/>
        <v>3510.87</v>
      </c>
      <c r="E57" s="271">
        <v>3510.87</v>
      </c>
      <c r="F57" s="271"/>
      <c r="G57" s="271">
        <f t="shared" si="1"/>
        <v>0</v>
      </c>
    </row>
    <row r="58" spans="1:7">
      <c r="A58" s="270" t="str">
        <f>FISCAL!D74</f>
        <v xml:space="preserve">Sambrano Villarreal Hernan Andres </v>
      </c>
      <c r="B58" s="271">
        <f>FISCAL!R74</f>
        <v>13060.92</v>
      </c>
      <c r="C58" s="271"/>
      <c r="D58" s="271">
        <f t="shared" si="0"/>
        <v>13060.92</v>
      </c>
      <c r="E58" s="271">
        <v>13060.92</v>
      </c>
      <c r="F58" s="271"/>
      <c r="G58" s="271">
        <f t="shared" si="1"/>
        <v>0</v>
      </c>
    </row>
    <row r="59" spans="1:7">
      <c r="A59" s="270" t="str">
        <f>FISCAL!D75</f>
        <v>Villegas Alonso Diego Armando</v>
      </c>
      <c r="B59" s="271">
        <f>FISCAL!R75</f>
        <v>4616.869999999999</v>
      </c>
      <c r="C59" s="271"/>
      <c r="D59" s="271">
        <f t="shared" si="0"/>
        <v>4616.869999999999</v>
      </c>
      <c r="E59" s="271">
        <v>4616.87</v>
      </c>
      <c r="F59" s="271"/>
      <c r="G59" s="271">
        <f t="shared" si="1"/>
        <v>0</v>
      </c>
    </row>
    <row r="60" spans="1:7">
      <c r="A60" s="270" t="str">
        <f>FISCAL!D76</f>
        <v>Yerena Vazquez Alejandro</v>
      </c>
      <c r="B60" s="271">
        <f>FISCAL!R76</f>
        <v>1883.2700000000002</v>
      </c>
      <c r="C60" s="271"/>
      <c r="D60" s="271">
        <f t="shared" si="0"/>
        <v>1883.2700000000002</v>
      </c>
      <c r="E60" s="271">
        <v>1883.27</v>
      </c>
      <c r="F60" s="271"/>
      <c r="G60" s="271">
        <f t="shared" si="1"/>
        <v>0</v>
      </c>
    </row>
    <row r="61" spans="1:7">
      <c r="A61" s="176"/>
    </row>
    <row r="62" spans="1:7">
      <c r="A62" s="176"/>
    </row>
    <row r="63" spans="1:7">
      <c r="A63" s="176"/>
    </row>
    <row r="64" spans="1:7">
      <c r="A64" s="176"/>
    </row>
    <row r="65" spans="1:1">
      <c r="A65" s="176"/>
    </row>
    <row r="66" spans="1:1">
      <c r="A66" s="176"/>
    </row>
    <row r="67" spans="1:1">
      <c r="A67" s="176"/>
    </row>
    <row r="68" spans="1:1">
      <c r="A68" s="176"/>
    </row>
    <row r="69" spans="1:1">
      <c r="A69" s="176"/>
    </row>
    <row r="70" spans="1:1">
      <c r="A70" s="176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FACTURACION</vt:lpstr>
      <vt:lpstr>FISCAL</vt:lpstr>
      <vt:lpstr>SINDICATO</vt:lpstr>
      <vt:lpstr>POLIZA</vt:lpstr>
      <vt:lpstr>DISPERSIONES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2016-10-27T17:37:55Z</dcterms:created>
  <dcterms:modified xsi:type="dcterms:W3CDTF">2016-11-17T22:14:55Z</dcterms:modified>
</cp:coreProperties>
</file>