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$\Grupo LMJS\CELAYA\NOMINA CELAYA\2016\CONSULTORES\SEMANAL\"/>
    </mc:Choice>
  </mc:AlternateContent>
  <bookViews>
    <workbookView xWindow="0" yWindow="0" windowWidth="28800" windowHeight="11445" firstSheet="1" activeTab="1"/>
  </bookViews>
  <sheets>
    <sheet name="INCIDENCIAS" sheetId="8" state="hidden" r:id="rId1"/>
    <sheet name="FACTURACIÓN" sheetId="1" r:id="rId2"/>
    <sheet name="C&amp;A" sheetId="4" r:id="rId3"/>
    <sheet name="SINDICATO" sheetId="2" r:id="rId4"/>
    <sheet name="SIND BANCO" sheetId="9" r:id="rId5"/>
    <sheet name="Hoja3" sheetId="3" r:id="rId6"/>
    <sheet name="Hoja1" sheetId="5" r:id="rId7"/>
    <sheet name="INFONAVIT" sheetId="7" r:id="rId8"/>
    <sheet name="Hoja2" sheetId="10" r:id="rId9"/>
    <sheet name="resumen" sheetId="11" r:id="rId10"/>
  </sheets>
  <definedNames>
    <definedName name="_xlnm._FilterDatabase" localSheetId="1" hidden="1">FACTURACIÓN!$A$9:$BI$38</definedName>
    <definedName name="_xlnm.Print_Area" localSheetId="1">FACTURACIÓN!$A$1:$AJ$42</definedName>
    <definedName name="_xlnm.Print_Area" localSheetId="4">'SIND BANCO'!$A$1:$M$48</definedName>
    <definedName name="_xlnm.Print_Area" localSheetId="3">SINDICATO!$A$1:$L$41</definedName>
  </definedNames>
  <calcPr calcId="152511"/>
</workbook>
</file>

<file path=xl/calcChain.xml><?xml version="1.0" encoding="utf-8"?>
<calcChain xmlns="http://schemas.openxmlformats.org/spreadsheetml/2006/main">
  <c r="B14" i="11" l="1"/>
  <c r="B15" i="11" s="1"/>
  <c r="B16" i="11" s="1"/>
  <c r="D40" i="1" l="1"/>
  <c r="D40" i="2" l="1"/>
  <c r="J40" i="2"/>
  <c r="E29" i="4" l="1"/>
  <c r="O29" i="1" s="1"/>
  <c r="E25" i="4"/>
  <c r="O25" i="1" s="1"/>
  <c r="E24" i="4"/>
  <c r="O24" i="1" s="1"/>
  <c r="E37" i="4"/>
  <c r="O37" i="1" s="1"/>
  <c r="I37" i="4"/>
  <c r="J37" i="4" s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0" i="1"/>
  <c r="I11" i="1"/>
  <c r="H11" i="2" s="1"/>
  <c r="I12" i="1"/>
  <c r="H12" i="2" s="1"/>
  <c r="I13" i="1"/>
  <c r="H13" i="2" s="1"/>
  <c r="I14" i="1"/>
  <c r="H14" i="2" s="1"/>
  <c r="I15" i="1"/>
  <c r="H15" i="2" s="1"/>
  <c r="I16" i="1"/>
  <c r="H16" i="2" s="1"/>
  <c r="I17" i="1"/>
  <c r="H17" i="2" s="1"/>
  <c r="I18" i="1"/>
  <c r="H18" i="2" s="1"/>
  <c r="I19" i="1"/>
  <c r="H19" i="2" s="1"/>
  <c r="I20" i="1"/>
  <c r="H20" i="2" s="1"/>
  <c r="I21" i="1"/>
  <c r="H21" i="2" s="1"/>
  <c r="I22" i="1"/>
  <c r="H22" i="2" s="1"/>
  <c r="I23" i="1"/>
  <c r="H23" i="2" s="1"/>
  <c r="I24" i="1"/>
  <c r="H24" i="2" s="1"/>
  <c r="I25" i="1"/>
  <c r="H25" i="2" s="1"/>
  <c r="I26" i="1"/>
  <c r="H26" i="2" s="1"/>
  <c r="I27" i="1"/>
  <c r="H27" i="2" s="1"/>
  <c r="I28" i="1"/>
  <c r="H28" i="2" s="1"/>
  <c r="I29" i="1"/>
  <c r="H29" i="2" s="1"/>
  <c r="I30" i="1"/>
  <c r="H30" i="2" s="1"/>
  <c r="I31" i="1"/>
  <c r="H31" i="2" s="1"/>
  <c r="I32" i="1"/>
  <c r="H32" i="2" s="1"/>
  <c r="I33" i="1"/>
  <c r="H33" i="2" s="1"/>
  <c r="I34" i="1"/>
  <c r="H34" i="2" s="1"/>
  <c r="I35" i="1"/>
  <c r="H35" i="2" s="1"/>
  <c r="I36" i="1"/>
  <c r="H36" i="2" s="1"/>
  <c r="I37" i="1"/>
  <c r="H37" i="2" s="1"/>
  <c r="I38" i="1"/>
  <c r="H38" i="2" s="1"/>
  <c r="I10" i="1"/>
  <c r="H10" i="2" s="1"/>
  <c r="H38" i="1"/>
  <c r="H11" i="1"/>
  <c r="G11" i="2" s="1"/>
  <c r="H12" i="1"/>
  <c r="G12" i="2" s="1"/>
  <c r="H13" i="1"/>
  <c r="G13" i="2" s="1"/>
  <c r="H14" i="1"/>
  <c r="G14" i="2" s="1"/>
  <c r="H15" i="1"/>
  <c r="G15" i="2" s="1"/>
  <c r="H16" i="1"/>
  <c r="G16" i="2" s="1"/>
  <c r="H17" i="1"/>
  <c r="G17" i="2" s="1"/>
  <c r="H18" i="1"/>
  <c r="G18" i="2" s="1"/>
  <c r="H19" i="1"/>
  <c r="G19" i="2" s="1"/>
  <c r="H20" i="1"/>
  <c r="G20" i="2" s="1"/>
  <c r="H21" i="1"/>
  <c r="G21" i="2" s="1"/>
  <c r="H22" i="1"/>
  <c r="G22" i="2" s="1"/>
  <c r="H23" i="1"/>
  <c r="G23" i="2" s="1"/>
  <c r="H24" i="1"/>
  <c r="G24" i="2" s="1"/>
  <c r="H25" i="1"/>
  <c r="G25" i="2" s="1"/>
  <c r="H26" i="1"/>
  <c r="G26" i="2" s="1"/>
  <c r="H27" i="1"/>
  <c r="G27" i="2" s="1"/>
  <c r="H28" i="1"/>
  <c r="G28" i="2" s="1"/>
  <c r="H29" i="1"/>
  <c r="G29" i="2" s="1"/>
  <c r="H30" i="1"/>
  <c r="G30" i="2" s="1"/>
  <c r="H31" i="1"/>
  <c r="G31" i="2" s="1"/>
  <c r="H32" i="1"/>
  <c r="G32" i="2" s="1"/>
  <c r="H33" i="1"/>
  <c r="G33" i="2" s="1"/>
  <c r="H34" i="1"/>
  <c r="G34" i="2" s="1"/>
  <c r="H35" i="1"/>
  <c r="G35" i="2" s="1"/>
  <c r="H36" i="1"/>
  <c r="G36" i="2" s="1"/>
  <c r="H37" i="1"/>
  <c r="G37" i="2" s="1"/>
  <c r="H10" i="1"/>
  <c r="G11" i="1"/>
  <c r="F11" i="2" s="1"/>
  <c r="G12" i="1"/>
  <c r="F12" i="2" s="1"/>
  <c r="G13" i="1"/>
  <c r="F13" i="2" s="1"/>
  <c r="G14" i="1"/>
  <c r="F14" i="2" s="1"/>
  <c r="G15" i="1"/>
  <c r="F15" i="2" s="1"/>
  <c r="G16" i="1"/>
  <c r="F16" i="2" s="1"/>
  <c r="G17" i="1"/>
  <c r="F17" i="2" s="1"/>
  <c r="G18" i="1"/>
  <c r="F18" i="2" s="1"/>
  <c r="G19" i="1"/>
  <c r="F19" i="2" s="1"/>
  <c r="G20" i="1"/>
  <c r="F20" i="2" s="1"/>
  <c r="G21" i="1"/>
  <c r="F21" i="2" s="1"/>
  <c r="G22" i="1"/>
  <c r="F22" i="2" s="1"/>
  <c r="G23" i="1"/>
  <c r="F23" i="2" s="1"/>
  <c r="G24" i="1"/>
  <c r="F24" i="2" s="1"/>
  <c r="G25" i="1"/>
  <c r="F25" i="2" s="1"/>
  <c r="G26" i="1"/>
  <c r="F26" i="2" s="1"/>
  <c r="G27" i="1"/>
  <c r="F27" i="2" s="1"/>
  <c r="G28" i="1"/>
  <c r="F28" i="2" s="1"/>
  <c r="G29" i="1"/>
  <c r="F29" i="2" s="1"/>
  <c r="G30" i="1"/>
  <c r="F30" i="2" s="1"/>
  <c r="G31" i="1"/>
  <c r="F31" i="2" s="1"/>
  <c r="G32" i="1"/>
  <c r="F32" i="2" s="1"/>
  <c r="G33" i="1"/>
  <c r="F33" i="2" s="1"/>
  <c r="G34" i="1"/>
  <c r="F34" i="2" s="1"/>
  <c r="G35" i="1"/>
  <c r="F35" i="2" s="1"/>
  <c r="G36" i="1"/>
  <c r="F36" i="2" s="1"/>
  <c r="G37" i="1"/>
  <c r="F37" i="2" s="1"/>
  <c r="G38" i="1"/>
  <c r="F38" i="2" s="1"/>
  <c r="G10" i="1"/>
  <c r="F10" i="2" s="1"/>
  <c r="AZ104" i="1"/>
  <c r="BA104" i="1" s="1"/>
  <c r="AZ103" i="1"/>
  <c r="BA103" i="1" s="1"/>
  <c r="AV103" i="1"/>
  <c r="AW103" i="1" s="1"/>
  <c r="AV102" i="1"/>
  <c r="AW102" i="1" s="1"/>
  <c r="BA100" i="1"/>
  <c r="AZ100" i="1"/>
  <c r="AW99" i="1"/>
  <c r="AV99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1" i="1"/>
  <c r="BB80" i="1"/>
  <c r="BB79" i="1"/>
  <c r="BB78" i="1"/>
  <c r="BB77" i="1"/>
  <c r="BB76" i="1"/>
  <c r="BB75" i="1"/>
  <c r="BB74" i="1"/>
  <c r="BB73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2" i="1"/>
  <c r="AX52" i="1"/>
  <c r="BB51" i="1"/>
  <c r="AX51" i="1"/>
  <c r="BB50" i="1"/>
  <c r="AX50" i="1"/>
  <c r="AJ49" i="1"/>
  <c r="AP49" i="1" s="1"/>
  <c r="BB48" i="1"/>
  <c r="AJ48" i="1"/>
  <c r="AP48" i="1" s="1"/>
  <c r="BB45" i="1"/>
  <c r="AX45" i="1"/>
  <c r="BB44" i="1"/>
  <c r="AX44" i="1"/>
  <c r="BB43" i="1"/>
  <c r="AO43" i="1"/>
  <c r="AN43" i="1"/>
  <c r="AM43" i="1"/>
  <c r="AL43" i="1"/>
  <c r="AK43" i="1"/>
  <c r="AI43" i="1"/>
  <c r="AH43" i="1"/>
  <c r="AG43" i="1"/>
  <c r="BB42" i="1"/>
  <c r="AX42" i="1"/>
  <c r="BB41" i="1"/>
  <c r="AX41" i="1"/>
  <c r="BB40" i="1"/>
  <c r="AX40" i="1"/>
  <c r="BB39" i="1"/>
  <c r="AX39" i="1"/>
  <c r="AB38" i="1"/>
  <c r="AT38" i="1" s="1"/>
  <c r="AT37" i="1"/>
  <c r="AD37" i="1"/>
  <c r="AJ37" i="1" s="1"/>
  <c r="AT36" i="1"/>
  <c r="AD36" i="1"/>
  <c r="AJ36" i="1" s="1"/>
  <c r="AT35" i="1"/>
  <c r="AD35" i="1"/>
  <c r="AJ35" i="1" s="1"/>
  <c r="AT34" i="1"/>
  <c r="AD34" i="1"/>
  <c r="AJ34" i="1" s="1"/>
  <c r="AT33" i="1"/>
  <c r="AD33" i="1"/>
  <c r="AJ33" i="1" s="1"/>
  <c r="AT32" i="1"/>
  <c r="AD32" i="1"/>
  <c r="AJ32" i="1" s="1"/>
  <c r="AT31" i="1"/>
  <c r="AD31" i="1"/>
  <c r="AJ31" i="1" s="1"/>
  <c r="AT30" i="1"/>
  <c r="AD30" i="1"/>
  <c r="AJ30" i="1" s="1"/>
  <c r="AT22" i="1"/>
  <c r="AD22" i="1"/>
  <c r="AJ22" i="1" s="1"/>
  <c r="AT29" i="1"/>
  <c r="AD29" i="1"/>
  <c r="AJ29" i="1" s="1"/>
  <c r="AT28" i="1"/>
  <c r="AD28" i="1"/>
  <c r="AJ28" i="1" s="1"/>
  <c r="AT27" i="1"/>
  <c r="AD27" i="1"/>
  <c r="AJ27" i="1" s="1"/>
  <c r="AP27" i="1" s="1"/>
  <c r="AT26" i="1"/>
  <c r="AD26" i="1"/>
  <c r="AJ26" i="1" s="1"/>
  <c r="AP26" i="1" s="1"/>
  <c r="AT25" i="1"/>
  <c r="AD25" i="1"/>
  <c r="AJ25" i="1" s="1"/>
  <c r="AP25" i="1" s="1"/>
  <c r="AT24" i="1"/>
  <c r="AD24" i="1"/>
  <c r="AJ24" i="1" s="1"/>
  <c r="AT23" i="1"/>
  <c r="AD23" i="1"/>
  <c r="AJ23" i="1" s="1"/>
  <c r="AT21" i="1"/>
  <c r="AD21" i="1"/>
  <c r="AJ21" i="1" s="1"/>
  <c r="AT20" i="1"/>
  <c r="AD20" i="1"/>
  <c r="AJ20" i="1" s="1"/>
  <c r="AT19" i="1"/>
  <c r="AD19" i="1"/>
  <c r="AJ19" i="1" s="1"/>
  <c r="AT18" i="1"/>
  <c r="AE18" i="1"/>
  <c r="E18" i="1" s="1"/>
  <c r="AD18" i="1"/>
  <c r="C18" i="1" s="1"/>
  <c r="AT17" i="1"/>
  <c r="AD17" i="1"/>
  <c r="AJ17" i="1" s="1"/>
  <c r="AT16" i="1"/>
  <c r="AD16" i="1"/>
  <c r="AJ16" i="1" s="1"/>
  <c r="AT15" i="1"/>
  <c r="AD15" i="1"/>
  <c r="AJ15" i="1" s="1"/>
  <c r="AT14" i="1"/>
  <c r="AD14" i="1"/>
  <c r="AJ14" i="1" s="1"/>
  <c r="AT13" i="1"/>
  <c r="AD13" i="1"/>
  <c r="AJ13" i="1" s="1"/>
  <c r="AT12" i="1"/>
  <c r="AD12" i="1"/>
  <c r="AJ12" i="1" s="1"/>
  <c r="AT11" i="1"/>
  <c r="AD11" i="1"/>
  <c r="AJ11" i="1" s="1"/>
  <c r="AT10" i="1"/>
  <c r="AD10" i="1"/>
  <c r="AJ10" i="1" s="1"/>
  <c r="L44" i="9"/>
  <c r="L47" i="9" s="1"/>
  <c r="L41" i="9"/>
  <c r="L46" i="9" s="1"/>
  <c r="L48" i="9" s="1"/>
  <c r="D40" i="4"/>
  <c r="C40" i="4"/>
  <c r="F40" i="4"/>
  <c r="M18" i="1" l="1"/>
  <c r="G10" i="2"/>
  <c r="H40" i="1"/>
  <c r="F18" i="1"/>
  <c r="C10" i="1"/>
  <c r="M10" i="1" s="1"/>
  <c r="G40" i="1"/>
  <c r="G38" i="2"/>
  <c r="F40" i="2"/>
  <c r="H40" i="2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36" i="1"/>
  <c r="C34" i="1"/>
  <c r="C32" i="1"/>
  <c r="C30" i="1"/>
  <c r="C28" i="1"/>
  <c r="C26" i="1"/>
  <c r="C24" i="1"/>
  <c r="C22" i="1"/>
  <c r="C20" i="1"/>
  <c r="C16" i="1"/>
  <c r="C14" i="1"/>
  <c r="C12" i="1"/>
  <c r="AT43" i="1"/>
  <c r="AJ18" i="1"/>
  <c r="AP18" i="1" s="1"/>
  <c r="BB103" i="1"/>
  <c r="AP19" i="1"/>
  <c r="AS19" i="1"/>
  <c r="AQ19" i="1"/>
  <c r="J19" i="1" s="1"/>
  <c r="I19" i="2" s="1"/>
  <c r="AP20" i="1"/>
  <c r="AS20" i="1"/>
  <c r="AQ20" i="1"/>
  <c r="J20" i="1" s="1"/>
  <c r="I20" i="2" s="1"/>
  <c r="AP21" i="1"/>
  <c r="AS21" i="1"/>
  <c r="AQ21" i="1"/>
  <c r="J21" i="1" s="1"/>
  <c r="I21" i="2" s="1"/>
  <c r="AP23" i="1"/>
  <c r="AS23" i="1"/>
  <c r="AQ23" i="1"/>
  <c r="J23" i="1" s="1"/>
  <c r="I23" i="2" s="1"/>
  <c r="AP24" i="1"/>
  <c r="AS24" i="1"/>
  <c r="AQ24" i="1"/>
  <c r="J24" i="1" s="1"/>
  <c r="I24" i="2" s="1"/>
  <c r="AS10" i="1"/>
  <c r="AQ10" i="1"/>
  <c r="J10" i="1" s="1"/>
  <c r="I10" i="2" s="1"/>
  <c r="AP10" i="1"/>
  <c r="AS11" i="1"/>
  <c r="AQ11" i="1"/>
  <c r="J11" i="1" s="1"/>
  <c r="I11" i="2" s="1"/>
  <c r="AP11" i="1"/>
  <c r="AS12" i="1"/>
  <c r="AQ12" i="1"/>
  <c r="J12" i="1" s="1"/>
  <c r="I12" i="2" s="1"/>
  <c r="AP12" i="1"/>
  <c r="AS13" i="1"/>
  <c r="AQ13" i="1"/>
  <c r="J13" i="1" s="1"/>
  <c r="I13" i="2" s="1"/>
  <c r="AP13" i="1"/>
  <c r="AS14" i="1"/>
  <c r="AQ14" i="1"/>
  <c r="J14" i="1" s="1"/>
  <c r="I14" i="2" s="1"/>
  <c r="AP14" i="1"/>
  <c r="AS15" i="1"/>
  <c r="AQ15" i="1"/>
  <c r="J15" i="1" s="1"/>
  <c r="I15" i="2" s="1"/>
  <c r="AP15" i="1"/>
  <c r="AS16" i="1"/>
  <c r="AQ16" i="1"/>
  <c r="J16" i="1" s="1"/>
  <c r="I16" i="2" s="1"/>
  <c r="AP16" i="1"/>
  <c r="AS17" i="1"/>
  <c r="AQ17" i="1"/>
  <c r="J17" i="1" s="1"/>
  <c r="I17" i="2" s="1"/>
  <c r="AP17" i="1"/>
  <c r="AP28" i="1"/>
  <c r="AS28" i="1"/>
  <c r="AQ28" i="1"/>
  <c r="J28" i="1" s="1"/>
  <c r="I28" i="2" s="1"/>
  <c r="AP29" i="1"/>
  <c r="AS29" i="1"/>
  <c r="AQ29" i="1"/>
  <c r="J29" i="1" s="1"/>
  <c r="I29" i="2" s="1"/>
  <c r="AP22" i="1"/>
  <c r="AS22" i="1"/>
  <c r="AQ22" i="1"/>
  <c r="J22" i="1" s="1"/>
  <c r="I22" i="2" s="1"/>
  <c r="AP30" i="1"/>
  <c r="AS30" i="1"/>
  <c r="AQ30" i="1"/>
  <c r="J30" i="1" s="1"/>
  <c r="I30" i="2" s="1"/>
  <c r="AP31" i="1"/>
  <c r="AS31" i="1"/>
  <c r="AQ31" i="1"/>
  <c r="J31" i="1" s="1"/>
  <c r="I31" i="2" s="1"/>
  <c r="AP32" i="1"/>
  <c r="AS32" i="1"/>
  <c r="AQ32" i="1"/>
  <c r="J32" i="1" s="1"/>
  <c r="I32" i="2" s="1"/>
  <c r="AP33" i="1"/>
  <c r="AS33" i="1"/>
  <c r="AQ33" i="1"/>
  <c r="J33" i="1" s="1"/>
  <c r="I33" i="2" s="1"/>
  <c r="AP34" i="1"/>
  <c r="AS34" i="1"/>
  <c r="AQ34" i="1"/>
  <c r="J34" i="1" s="1"/>
  <c r="I34" i="2" s="1"/>
  <c r="AP35" i="1"/>
  <c r="AS35" i="1"/>
  <c r="AQ35" i="1"/>
  <c r="J35" i="1" s="1"/>
  <c r="I35" i="2" s="1"/>
  <c r="AP36" i="1"/>
  <c r="AS36" i="1"/>
  <c r="AQ36" i="1"/>
  <c r="J36" i="1" s="1"/>
  <c r="I36" i="2" s="1"/>
  <c r="AP37" i="1"/>
  <c r="AS37" i="1"/>
  <c r="AQ37" i="1"/>
  <c r="J37" i="1" s="1"/>
  <c r="I37" i="2" s="1"/>
  <c r="AR48" i="1"/>
  <c r="AX48" i="1" s="1"/>
  <c r="AS48" i="1"/>
  <c r="AU48" i="1" s="1"/>
  <c r="AQ48" i="1"/>
  <c r="AR49" i="1"/>
  <c r="AX49" i="1" s="1"/>
  <c r="AS49" i="1"/>
  <c r="AU49" i="1" s="1"/>
  <c r="AQ49" i="1"/>
  <c r="AQ25" i="1"/>
  <c r="AS25" i="1"/>
  <c r="AQ26" i="1"/>
  <c r="AS26" i="1"/>
  <c r="AQ27" i="1"/>
  <c r="AS27" i="1"/>
  <c r="AD38" i="1"/>
  <c r="AD43" i="1"/>
  <c r="BB104" i="1"/>
  <c r="O48" i="1"/>
  <c r="O44" i="1"/>
  <c r="I44" i="1"/>
  <c r="AA101" i="8"/>
  <c r="AB101" i="8" s="1"/>
  <c r="AA100" i="8"/>
  <c r="AB97" i="8"/>
  <c r="AA97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8" i="8"/>
  <c r="AC77" i="8"/>
  <c r="AC76" i="8"/>
  <c r="AC75" i="8"/>
  <c r="AC74" i="8"/>
  <c r="AC73" i="8"/>
  <c r="AC72" i="8"/>
  <c r="AC71" i="8"/>
  <c r="AC70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9" i="8"/>
  <c r="AC48" i="8"/>
  <c r="AC47" i="8"/>
  <c r="T46" i="8"/>
  <c r="N46" i="8"/>
  <c r="AC45" i="8"/>
  <c r="N45" i="8"/>
  <c r="T45" i="8" s="1"/>
  <c r="AC44" i="8"/>
  <c r="AC43" i="8"/>
  <c r="AC42" i="8"/>
  <c r="R42" i="8"/>
  <c r="Q42" i="8"/>
  <c r="P42" i="8"/>
  <c r="O42" i="8"/>
  <c r="M42" i="8"/>
  <c r="L42" i="8"/>
  <c r="K42" i="8"/>
  <c r="AC41" i="8"/>
  <c r="AC40" i="8"/>
  <c r="AC39" i="8"/>
  <c r="AC38" i="8"/>
  <c r="G37" i="8"/>
  <c r="X37" i="8" s="1"/>
  <c r="X36" i="8"/>
  <c r="N36" i="8"/>
  <c r="I36" i="8"/>
  <c r="X35" i="8"/>
  <c r="I35" i="8"/>
  <c r="N35" i="8" s="1"/>
  <c r="X34" i="8"/>
  <c r="N34" i="8"/>
  <c r="I34" i="8"/>
  <c r="X33" i="8"/>
  <c r="J33" i="8"/>
  <c r="I33" i="8"/>
  <c r="X32" i="8"/>
  <c r="I32" i="8"/>
  <c r="N32" i="8" s="1"/>
  <c r="X31" i="8"/>
  <c r="I31" i="8"/>
  <c r="N31" i="8" s="1"/>
  <c r="X30" i="8"/>
  <c r="I30" i="8"/>
  <c r="N30" i="8" s="1"/>
  <c r="X29" i="8"/>
  <c r="I29" i="8"/>
  <c r="N29" i="8" s="1"/>
  <c r="X28" i="8"/>
  <c r="I28" i="8"/>
  <c r="N28" i="8" s="1"/>
  <c r="X27" i="8"/>
  <c r="I27" i="8"/>
  <c r="N27" i="8" s="1"/>
  <c r="X26" i="8"/>
  <c r="I26" i="8"/>
  <c r="N26" i="8" s="1"/>
  <c r="X25" i="8"/>
  <c r="J25" i="8"/>
  <c r="I25" i="8"/>
  <c r="X24" i="8"/>
  <c r="I24" i="8"/>
  <c r="N24" i="8" s="1"/>
  <c r="X23" i="8"/>
  <c r="N23" i="8"/>
  <c r="T23" i="8" s="1"/>
  <c r="I23" i="8"/>
  <c r="X22" i="8"/>
  <c r="I22" i="8"/>
  <c r="N22" i="8" s="1"/>
  <c r="X21" i="8"/>
  <c r="I21" i="8"/>
  <c r="N21" i="8" s="1"/>
  <c r="T21" i="8" s="1"/>
  <c r="X20" i="8"/>
  <c r="I20" i="8"/>
  <c r="N20" i="8" s="1"/>
  <c r="X19" i="8"/>
  <c r="I19" i="8"/>
  <c r="N19" i="8" s="1"/>
  <c r="T19" i="8" s="1"/>
  <c r="X18" i="8"/>
  <c r="I18" i="8"/>
  <c r="N18" i="8" s="1"/>
  <c r="X17" i="8"/>
  <c r="I17" i="8"/>
  <c r="N17" i="8" s="1"/>
  <c r="X16" i="8"/>
  <c r="I16" i="8"/>
  <c r="N16" i="8" s="1"/>
  <c r="X15" i="8"/>
  <c r="I15" i="8"/>
  <c r="N15" i="8" s="1"/>
  <c r="X14" i="8"/>
  <c r="J14" i="8"/>
  <c r="I14" i="8"/>
  <c r="N14" i="8" s="1"/>
  <c r="X13" i="8"/>
  <c r="I13" i="8"/>
  <c r="N13" i="8" s="1"/>
  <c r="X12" i="8"/>
  <c r="I12" i="8"/>
  <c r="N12" i="8" s="1"/>
  <c r="X11" i="8"/>
  <c r="I11" i="8"/>
  <c r="N11" i="8" s="1"/>
  <c r="X10" i="8"/>
  <c r="I10" i="8"/>
  <c r="N10" i="8" s="1"/>
  <c r="X9" i="8"/>
  <c r="I9" i="8"/>
  <c r="N9" i="8" s="1"/>
  <c r="X8" i="8"/>
  <c r="I8" i="8"/>
  <c r="N8" i="8" s="1"/>
  <c r="X7" i="8"/>
  <c r="X42" i="8" s="1"/>
  <c r="I7" i="8"/>
  <c r="I11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8" i="4"/>
  <c r="E11" i="4"/>
  <c r="O11" i="1" s="1"/>
  <c r="E12" i="4"/>
  <c r="O12" i="1" s="1"/>
  <c r="E13" i="4"/>
  <c r="O13" i="1" s="1"/>
  <c r="E14" i="4"/>
  <c r="O14" i="1" s="1"/>
  <c r="E15" i="4"/>
  <c r="O15" i="1" s="1"/>
  <c r="E16" i="4"/>
  <c r="O16" i="1" s="1"/>
  <c r="E17" i="4"/>
  <c r="O17" i="1" s="1"/>
  <c r="E18" i="4"/>
  <c r="O18" i="1" s="1"/>
  <c r="E19" i="4"/>
  <c r="O19" i="1" s="1"/>
  <c r="E20" i="4"/>
  <c r="O20" i="1" s="1"/>
  <c r="E21" i="4"/>
  <c r="O21" i="1" s="1"/>
  <c r="E22" i="4"/>
  <c r="O22" i="1" s="1"/>
  <c r="E23" i="4"/>
  <c r="O23" i="1" s="1"/>
  <c r="E26" i="4"/>
  <c r="O26" i="1" s="1"/>
  <c r="E27" i="4"/>
  <c r="O27" i="1" s="1"/>
  <c r="E28" i="4"/>
  <c r="O28" i="1" s="1"/>
  <c r="E30" i="4"/>
  <c r="O30" i="1" s="1"/>
  <c r="E31" i="4"/>
  <c r="O31" i="1" s="1"/>
  <c r="E32" i="4"/>
  <c r="O32" i="1" s="1"/>
  <c r="E33" i="4"/>
  <c r="O33" i="1" s="1"/>
  <c r="E34" i="4"/>
  <c r="O34" i="1" s="1"/>
  <c r="E35" i="4"/>
  <c r="O35" i="1" s="1"/>
  <c r="E36" i="4"/>
  <c r="O36" i="1" s="1"/>
  <c r="E38" i="4"/>
  <c r="O38" i="1" s="1"/>
  <c r="E10" i="4"/>
  <c r="O10" i="1" s="1"/>
  <c r="I12" i="4"/>
  <c r="I48" i="1"/>
  <c r="H48" i="1"/>
  <c r="H44" i="1"/>
  <c r="G48" i="1"/>
  <c r="G44" i="1"/>
  <c r="E48" i="1"/>
  <c r="E44" i="1"/>
  <c r="B4" i="2"/>
  <c r="B4" i="4"/>
  <c r="H40" i="4"/>
  <c r="G40" i="2" l="1"/>
  <c r="F20" i="1"/>
  <c r="M20" i="1"/>
  <c r="F28" i="1"/>
  <c r="M28" i="1"/>
  <c r="F36" i="1"/>
  <c r="M36" i="1"/>
  <c r="F17" i="1"/>
  <c r="M17" i="1"/>
  <c r="F25" i="1"/>
  <c r="M25" i="1"/>
  <c r="F33" i="1"/>
  <c r="M33" i="1"/>
  <c r="F35" i="1"/>
  <c r="M35" i="1"/>
  <c r="I42" i="8"/>
  <c r="N25" i="8"/>
  <c r="N33" i="8"/>
  <c r="F16" i="1"/>
  <c r="M16" i="1"/>
  <c r="F26" i="1"/>
  <c r="M26" i="1"/>
  <c r="F34" i="1"/>
  <c r="M34" i="1"/>
  <c r="F15" i="1"/>
  <c r="M15" i="1"/>
  <c r="F23" i="1"/>
  <c r="M23" i="1"/>
  <c r="F31" i="1"/>
  <c r="M31" i="1"/>
  <c r="F12" i="1"/>
  <c r="M12" i="1"/>
  <c r="F22" i="1"/>
  <c r="M22" i="1"/>
  <c r="F30" i="1"/>
  <c r="M30" i="1"/>
  <c r="F11" i="1"/>
  <c r="M11" i="1"/>
  <c r="F19" i="1"/>
  <c r="M19" i="1"/>
  <c r="F27" i="1"/>
  <c r="M27" i="1"/>
  <c r="AC101" i="8"/>
  <c r="F14" i="1"/>
  <c r="M14" i="1"/>
  <c r="F24" i="1"/>
  <c r="M24" i="1"/>
  <c r="F32" i="1"/>
  <c r="M32" i="1"/>
  <c r="F13" i="1"/>
  <c r="M13" i="1"/>
  <c r="F21" i="1"/>
  <c r="M21" i="1"/>
  <c r="F29" i="1"/>
  <c r="M29" i="1"/>
  <c r="F37" i="1"/>
  <c r="C37" i="2" s="1"/>
  <c r="M37" i="1"/>
  <c r="K20" i="1"/>
  <c r="L20" i="1" s="1"/>
  <c r="AU27" i="1"/>
  <c r="N27" i="1"/>
  <c r="AU26" i="1"/>
  <c r="N26" i="1"/>
  <c r="AU25" i="1"/>
  <c r="N25" i="1"/>
  <c r="AU36" i="1"/>
  <c r="N36" i="1"/>
  <c r="AU34" i="1"/>
  <c r="N34" i="1"/>
  <c r="AU32" i="1"/>
  <c r="N32" i="1"/>
  <c r="AU30" i="1"/>
  <c r="N30" i="1"/>
  <c r="AU29" i="1"/>
  <c r="N29" i="1"/>
  <c r="AU16" i="1"/>
  <c r="N16" i="1"/>
  <c r="AU14" i="1"/>
  <c r="N14" i="1"/>
  <c r="AU12" i="1"/>
  <c r="N12" i="1"/>
  <c r="AU10" i="1"/>
  <c r="N10" i="1"/>
  <c r="AU24" i="1"/>
  <c r="N24" i="1"/>
  <c r="AU21" i="1"/>
  <c r="N21" i="1"/>
  <c r="AU19" i="1"/>
  <c r="N19" i="1"/>
  <c r="K10" i="1"/>
  <c r="K14" i="1"/>
  <c r="K22" i="1"/>
  <c r="K30" i="1"/>
  <c r="K34" i="1"/>
  <c r="K11" i="1"/>
  <c r="K15" i="1"/>
  <c r="K19" i="1"/>
  <c r="K23" i="1"/>
  <c r="K31" i="1"/>
  <c r="K35" i="1"/>
  <c r="AU37" i="1"/>
  <c r="N37" i="1"/>
  <c r="AU35" i="1"/>
  <c r="N35" i="1"/>
  <c r="AU33" i="1"/>
  <c r="N33" i="1"/>
  <c r="AU31" i="1"/>
  <c r="N31" i="1"/>
  <c r="AU22" i="1"/>
  <c r="N22" i="1"/>
  <c r="AU28" i="1"/>
  <c r="N28" i="1"/>
  <c r="AU17" i="1"/>
  <c r="N17" i="1"/>
  <c r="AU15" i="1"/>
  <c r="N15" i="1"/>
  <c r="AU13" i="1"/>
  <c r="N13" i="1"/>
  <c r="AU11" i="1"/>
  <c r="N11" i="1"/>
  <c r="AU23" i="1"/>
  <c r="N23" i="1"/>
  <c r="AU20" i="1"/>
  <c r="N20" i="1"/>
  <c r="F10" i="1"/>
  <c r="L34" i="1"/>
  <c r="K12" i="1"/>
  <c r="K16" i="1"/>
  <c r="L16" i="1" s="1"/>
  <c r="K24" i="1"/>
  <c r="K28" i="1"/>
  <c r="K32" i="1"/>
  <c r="K36" i="1"/>
  <c r="K13" i="1"/>
  <c r="K17" i="1"/>
  <c r="K21" i="1"/>
  <c r="K29" i="1"/>
  <c r="K33" i="1"/>
  <c r="L33" i="1" s="1"/>
  <c r="K37" i="1"/>
  <c r="J36" i="4"/>
  <c r="J34" i="4"/>
  <c r="J32" i="4"/>
  <c r="J30" i="4"/>
  <c r="J28" i="4"/>
  <c r="J26" i="4"/>
  <c r="J24" i="4"/>
  <c r="J16" i="4"/>
  <c r="J38" i="4"/>
  <c r="J35" i="4"/>
  <c r="J33" i="4"/>
  <c r="J31" i="4"/>
  <c r="J29" i="4"/>
  <c r="J27" i="4"/>
  <c r="J25" i="4"/>
  <c r="J23" i="4"/>
  <c r="E40" i="4"/>
  <c r="AJ38" i="1"/>
  <c r="AQ38" i="1" s="1"/>
  <c r="J38" i="1" s="1"/>
  <c r="C38" i="1"/>
  <c r="AR27" i="1"/>
  <c r="BB27" i="1" s="1"/>
  <c r="J27" i="1"/>
  <c r="AR26" i="1"/>
  <c r="AX26" i="1" s="1"/>
  <c r="J26" i="1"/>
  <c r="AR25" i="1"/>
  <c r="AX25" i="1" s="1"/>
  <c r="J25" i="1"/>
  <c r="AS18" i="1"/>
  <c r="AS43" i="1" s="1"/>
  <c r="AJ43" i="1"/>
  <c r="AQ18" i="1"/>
  <c r="AU50" i="1"/>
  <c r="AU51" i="1" s="1"/>
  <c r="AU52" i="1" s="1"/>
  <c r="AR36" i="1"/>
  <c r="BB36" i="1" s="1"/>
  <c r="AR34" i="1"/>
  <c r="BB34" i="1" s="1"/>
  <c r="AR32" i="1"/>
  <c r="BB32" i="1" s="1"/>
  <c r="AR30" i="1"/>
  <c r="BB30" i="1" s="1"/>
  <c r="AR29" i="1"/>
  <c r="BB29" i="1" s="1"/>
  <c r="AR37" i="1"/>
  <c r="BB37" i="1" s="1"/>
  <c r="AR35" i="1"/>
  <c r="BB35" i="1" s="1"/>
  <c r="AR33" i="1"/>
  <c r="BB33" i="1" s="1"/>
  <c r="AR31" i="1"/>
  <c r="BB31" i="1" s="1"/>
  <c r="AR22" i="1"/>
  <c r="BB22" i="1" s="1"/>
  <c r="AR28" i="1"/>
  <c r="BB28" i="1" s="1"/>
  <c r="AP43" i="1"/>
  <c r="AR10" i="1"/>
  <c r="AR17" i="1"/>
  <c r="AR16" i="1"/>
  <c r="AR15" i="1"/>
  <c r="AR14" i="1"/>
  <c r="AR13" i="1"/>
  <c r="AR12" i="1"/>
  <c r="AR11" i="1"/>
  <c r="AR24" i="1"/>
  <c r="AR23" i="1"/>
  <c r="AR21" i="1"/>
  <c r="AR20" i="1"/>
  <c r="AR19" i="1"/>
  <c r="T15" i="8"/>
  <c r="W15" i="8"/>
  <c r="Y15" i="8" s="1"/>
  <c r="U15" i="8"/>
  <c r="W16" i="8"/>
  <c r="Y16" i="8" s="1"/>
  <c r="U16" i="8"/>
  <c r="T16" i="8"/>
  <c r="V16" i="8" s="1"/>
  <c r="AC16" i="8" s="1"/>
  <c r="W18" i="8"/>
  <c r="Y18" i="8" s="1"/>
  <c r="U18" i="8"/>
  <c r="T18" i="8"/>
  <c r="V18" i="8" s="1"/>
  <c r="AC18" i="8" s="1"/>
  <c r="W22" i="8"/>
  <c r="Y22" i="8" s="1"/>
  <c r="U22" i="8"/>
  <c r="T22" i="8"/>
  <c r="T26" i="8"/>
  <c r="W26" i="8"/>
  <c r="Y26" i="8" s="1"/>
  <c r="U26" i="8"/>
  <c r="T30" i="8"/>
  <c r="W30" i="8"/>
  <c r="Y30" i="8" s="1"/>
  <c r="U30" i="8"/>
  <c r="W8" i="8"/>
  <c r="Y8" i="8" s="1"/>
  <c r="U8" i="8"/>
  <c r="T8" i="8"/>
  <c r="V8" i="8" s="1"/>
  <c r="AC8" i="8" s="1"/>
  <c r="T9" i="8"/>
  <c r="W9" i="8"/>
  <c r="Y9" i="8" s="1"/>
  <c r="U9" i="8"/>
  <c r="W10" i="8"/>
  <c r="Y10" i="8" s="1"/>
  <c r="U10" i="8"/>
  <c r="T10" i="8"/>
  <c r="V10" i="8" s="1"/>
  <c r="AC10" i="8" s="1"/>
  <c r="T11" i="8"/>
  <c r="W11" i="8"/>
  <c r="Y11" i="8" s="1"/>
  <c r="U11" i="8"/>
  <c r="Y12" i="8"/>
  <c r="W12" i="8"/>
  <c r="U12" i="8"/>
  <c r="S12" i="8"/>
  <c r="S42" i="8" s="1"/>
  <c r="Y13" i="8"/>
  <c r="W13" i="8"/>
  <c r="U13" i="8"/>
  <c r="T13" i="8"/>
  <c r="Y14" i="8"/>
  <c r="W14" i="8"/>
  <c r="U14" i="8"/>
  <c r="T14" i="8"/>
  <c r="Y20" i="8"/>
  <c r="W20" i="8"/>
  <c r="U20" i="8"/>
  <c r="T20" i="8"/>
  <c r="Y24" i="8"/>
  <c r="W24" i="8"/>
  <c r="U24" i="8"/>
  <c r="T24" i="8"/>
  <c r="Y25" i="8"/>
  <c r="W25" i="8"/>
  <c r="U25" i="8"/>
  <c r="T25" i="8"/>
  <c r="T28" i="8"/>
  <c r="V28" i="8" s="1"/>
  <c r="AC28" i="8" s="1"/>
  <c r="W28" i="8"/>
  <c r="Y28" i="8" s="1"/>
  <c r="U28" i="8"/>
  <c r="T32" i="8"/>
  <c r="V32" i="8" s="1"/>
  <c r="AC32" i="8" s="1"/>
  <c r="W32" i="8"/>
  <c r="Y32" i="8" s="1"/>
  <c r="U32" i="8"/>
  <c r="T33" i="8"/>
  <c r="W33" i="8"/>
  <c r="Y33" i="8" s="1"/>
  <c r="U33" i="8"/>
  <c r="T35" i="8"/>
  <c r="W35" i="8"/>
  <c r="Y35" i="8" s="1"/>
  <c r="U35" i="8"/>
  <c r="W45" i="8"/>
  <c r="Y45" i="8" s="1"/>
  <c r="Y47" i="8" s="1"/>
  <c r="U45" i="8"/>
  <c r="V45" i="8"/>
  <c r="V23" i="8"/>
  <c r="AC23" i="8" s="1"/>
  <c r="T17" i="8"/>
  <c r="W17" i="8"/>
  <c r="Y17" i="8" s="1"/>
  <c r="U17" i="8"/>
  <c r="N7" i="8"/>
  <c r="U19" i="8"/>
  <c r="V19" i="8" s="1"/>
  <c r="AC19" i="8" s="1"/>
  <c r="W19" i="8"/>
  <c r="Y19" i="8" s="1"/>
  <c r="U21" i="8"/>
  <c r="V21" i="8" s="1"/>
  <c r="AC21" i="8" s="1"/>
  <c r="W21" i="8"/>
  <c r="Y21" i="8" s="1"/>
  <c r="U23" i="8"/>
  <c r="W23" i="8"/>
  <c r="Y23" i="8" s="1"/>
  <c r="T27" i="8"/>
  <c r="V27" i="8" s="1"/>
  <c r="AC27" i="8" s="1"/>
  <c r="T29" i="8"/>
  <c r="T31" i="8"/>
  <c r="V31" i="8" s="1"/>
  <c r="AC31" i="8" s="1"/>
  <c r="T34" i="8"/>
  <c r="T36" i="8"/>
  <c r="V36" i="8" s="1"/>
  <c r="AC36" i="8" s="1"/>
  <c r="I37" i="8"/>
  <c r="N37" i="8" s="1"/>
  <c r="U46" i="8"/>
  <c r="W46" i="8"/>
  <c r="Y46" i="8" s="1"/>
  <c r="AB100" i="8"/>
  <c r="AC100" i="8" s="1"/>
  <c r="U27" i="8"/>
  <c r="W27" i="8"/>
  <c r="Y27" i="8" s="1"/>
  <c r="U29" i="8"/>
  <c r="W29" i="8"/>
  <c r="Y29" i="8" s="1"/>
  <c r="U31" i="8"/>
  <c r="W31" i="8"/>
  <c r="Y31" i="8" s="1"/>
  <c r="U34" i="8"/>
  <c r="W34" i="8"/>
  <c r="Y34" i="8" s="1"/>
  <c r="U36" i="8"/>
  <c r="W36" i="8"/>
  <c r="Y36" i="8" s="1"/>
  <c r="V46" i="8"/>
  <c r="J14" i="4"/>
  <c r="J13" i="4"/>
  <c r="J21" i="4"/>
  <c r="J19" i="4"/>
  <c r="J17" i="4"/>
  <c r="J11" i="4"/>
  <c r="C48" i="1"/>
  <c r="M48" i="1" s="1"/>
  <c r="J22" i="4"/>
  <c r="J20" i="4"/>
  <c r="J18" i="4"/>
  <c r="J12" i="4"/>
  <c r="C44" i="1"/>
  <c r="K28" i="2"/>
  <c r="K11" i="2"/>
  <c r="K15" i="2"/>
  <c r="K16" i="2"/>
  <c r="K19" i="2"/>
  <c r="K24" i="2"/>
  <c r="K22" i="2"/>
  <c r="K33" i="2"/>
  <c r="K36" i="2"/>
  <c r="K13" i="2"/>
  <c r="K21" i="2"/>
  <c r="K31" i="2"/>
  <c r="K37" i="2"/>
  <c r="L15" i="1" l="1"/>
  <c r="L13" i="1"/>
  <c r="T13" i="1" s="1"/>
  <c r="L24" i="1"/>
  <c r="T24" i="1" s="1"/>
  <c r="L29" i="1"/>
  <c r="T29" i="1" s="1"/>
  <c r="L36" i="1"/>
  <c r="T36" i="1" s="1"/>
  <c r="L35" i="1"/>
  <c r="T35" i="1" s="1"/>
  <c r="AX27" i="1"/>
  <c r="AX22" i="1"/>
  <c r="L22" i="1"/>
  <c r="T22" i="1" s="1"/>
  <c r="L23" i="1"/>
  <c r="T23" i="1" s="1"/>
  <c r="AX33" i="1"/>
  <c r="L31" i="1"/>
  <c r="T31" i="1" s="1"/>
  <c r="L11" i="1"/>
  <c r="T11" i="1" s="1"/>
  <c r="F38" i="1"/>
  <c r="F40" i="1" s="1"/>
  <c r="M38" i="1"/>
  <c r="V35" i="8"/>
  <c r="AC35" i="8" s="1"/>
  <c r="V22" i="8"/>
  <c r="AC22" i="8" s="1"/>
  <c r="AP38" i="1"/>
  <c r="AR38" i="1" s="1"/>
  <c r="L37" i="1"/>
  <c r="T37" i="1" s="1"/>
  <c r="L17" i="1"/>
  <c r="T17" i="1" s="1"/>
  <c r="L28" i="1"/>
  <c r="T28" i="1" s="1"/>
  <c r="L19" i="1"/>
  <c r="T19" i="1" s="1"/>
  <c r="L30" i="1"/>
  <c r="T30" i="1" s="1"/>
  <c r="L14" i="1"/>
  <c r="T14" i="1" s="1"/>
  <c r="V33" i="8"/>
  <c r="AC33" i="8" s="1"/>
  <c r="AX37" i="1"/>
  <c r="L21" i="1"/>
  <c r="T21" i="1" s="1"/>
  <c r="L32" i="1"/>
  <c r="T32" i="1" s="1"/>
  <c r="L12" i="1"/>
  <c r="AX29" i="1"/>
  <c r="AX31" i="1"/>
  <c r="AX36" i="1"/>
  <c r="BB25" i="1"/>
  <c r="AS38" i="1"/>
  <c r="AU38" i="1" s="1"/>
  <c r="BB26" i="1"/>
  <c r="T33" i="1"/>
  <c r="T12" i="1"/>
  <c r="T16" i="1"/>
  <c r="I38" i="2"/>
  <c r="K38" i="1"/>
  <c r="I25" i="2"/>
  <c r="K25" i="2" s="1"/>
  <c r="K25" i="1"/>
  <c r="L25" i="1" s="1"/>
  <c r="T25" i="1" s="1"/>
  <c r="I26" i="2"/>
  <c r="K26" i="2" s="1"/>
  <c r="K26" i="1"/>
  <c r="L26" i="1" s="1"/>
  <c r="T26" i="1" s="1"/>
  <c r="I27" i="2"/>
  <c r="K27" i="2" s="1"/>
  <c r="K27" i="1"/>
  <c r="L27" i="1" s="1"/>
  <c r="T27" i="1" s="1"/>
  <c r="L10" i="1"/>
  <c r="T10" i="1" s="1"/>
  <c r="T15" i="1"/>
  <c r="T34" i="1"/>
  <c r="AU18" i="1"/>
  <c r="N18" i="1"/>
  <c r="T20" i="1"/>
  <c r="C18" i="2"/>
  <c r="E18" i="2" s="1"/>
  <c r="C22" i="2"/>
  <c r="E22" i="2" s="1"/>
  <c r="L22" i="2" s="1"/>
  <c r="C11" i="2"/>
  <c r="E11" i="2" s="1"/>
  <c r="L11" i="2" s="1"/>
  <c r="C19" i="2"/>
  <c r="E19" i="2" s="1"/>
  <c r="L19" i="2" s="1"/>
  <c r="C25" i="2"/>
  <c r="E25" i="2" s="1"/>
  <c r="C33" i="2"/>
  <c r="E33" i="2" s="1"/>
  <c r="L33" i="2" s="1"/>
  <c r="S33" i="1" s="1"/>
  <c r="C16" i="2"/>
  <c r="E16" i="2" s="1"/>
  <c r="L16" i="2" s="1"/>
  <c r="S16" i="1" s="1"/>
  <c r="C26" i="2"/>
  <c r="E26" i="2" s="1"/>
  <c r="C30" i="2"/>
  <c r="E30" i="2" s="1"/>
  <c r="C34" i="2"/>
  <c r="E34" i="2" s="1"/>
  <c r="C20" i="2"/>
  <c r="E20" i="2" s="1"/>
  <c r="C17" i="2"/>
  <c r="E17" i="2" s="1"/>
  <c r="C21" i="2"/>
  <c r="E21" i="2" s="1"/>
  <c r="L21" i="2" s="1"/>
  <c r="C13" i="2"/>
  <c r="E13" i="2" s="1"/>
  <c r="L13" i="2" s="1"/>
  <c r="C14" i="2"/>
  <c r="E14" i="2" s="1"/>
  <c r="C23" i="2"/>
  <c r="E23" i="2" s="1"/>
  <c r="C27" i="2"/>
  <c r="E27" i="2" s="1"/>
  <c r="L27" i="2" s="1"/>
  <c r="C31" i="2"/>
  <c r="E31" i="2" s="1"/>
  <c r="L31" i="2" s="1"/>
  <c r="C35" i="2"/>
  <c r="E35" i="2" s="1"/>
  <c r="C24" i="2"/>
  <c r="E24" i="2" s="1"/>
  <c r="L24" i="2" s="1"/>
  <c r="C28" i="2"/>
  <c r="E28" i="2" s="1"/>
  <c r="L28" i="2" s="1"/>
  <c r="C32" i="2"/>
  <c r="E32" i="2" s="1"/>
  <c r="C29" i="2"/>
  <c r="E29" i="2" s="1"/>
  <c r="C36" i="2"/>
  <c r="E36" i="2" s="1"/>
  <c r="L36" i="2" s="1"/>
  <c r="C12" i="2"/>
  <c r="E12" i="2" s="1"/>
  <c r="O40" i="1"/>
  <c r="AR18" i="1"/>
  <c r="AX18" i="1" s="1"/>
  <c r="J18" i="1"/>
  <c r="AX28" i="1"/>
  <c r="AX32" i="1"/>
  <c r="AX35" i="1"/>
  <c r="AQ43" i="1"/>
  <c r="AQ45" i="1" s="1"/>
  <c r="AX30" i="1"/>
  <c r="AX34" i="1"/>
  <c r="BB18" i="1"/>
  <c r="AX19" i="1"/>
  <c r="BB19" i="1"/>
  <c r="AX21" i="1"/>
  <c r="BB21" i="1"/>
  <c r="AX24" i="1"/>
  <c r="BB24" i="1"/>
  <c r="BB11" i="1"/>
  <c r="AX11" i="1"/>
  <c r="BB13" i="1"/>
  <c r="AX13" i="1"/>
  <c r="BB15" i="1"/>
  <c r="AX15" i="1"/>
  <c r="BB17" i="1"/>
  <c r="AX17" i="1"/>
  <c r="BB10" i="1"/>
  <c r="AX10" i="1"/>
  <c r="AX20" i="1"/>
  <c r="BB20" i="1"/>
  <c r="AX23" i="1"/>
  <c r="BB23" i="1"/>
  <c r="BB12" i="1"/>
  <c r="AX12" i="1"/>
  <c r="BB14" i="1"/>
  <c r="AX14" i="1"/>
  <c r="BB16" i="1"/>
  <c r="AX16" i="1"/>
  <c r="Y48" i="8"/>
  <c r="Y49" i="8" s="1"/>
  <c r="N42" i="8"/>
  <c r="T7" i="8"/>
  <c r="W7" i="8"/>
  <c r="W42" i="8" s="1"/>
  <c r="U7" i="8"/>
  <c r="W37" i="8"/>
  <c r="Y37" i="8" s="1"/>
  <c r="U37" i="8"/>
  <c r="T37" i="8"/>
  <c r="V34" i="8"/>
  <c r="AC34" i="8" s="1"/>
  <c r="V29" i="8"/>
  <c r="AC29" i="8" s="1"/>
  <c r="V17" i="8"/>
  <c r="AC17" i="8" s="1"/>
  <c r="V25" i="8"/>
  <c r="AC25" i="8" s="1"/>
  <c r="V24" i="8"/>
  <c r="AC24" i="8" s="1"/>
  <c r="V20" i="8"/>
  <c r="AC20" i="8" s="1"/>
  <c r="V14" i="8"/>
  <c r="AC14" i="8" s="1"/>
  <c r="V13" i="8"/>
  <c r="AC13" i="8" s="1"/>
  <c r="T12" i="8"/>
  <c r="V12" i="8" s="1"/>
  <c r="AC12" i="8" s="1"/>
  <c r="V11" i="8"/>
  <c r="AC11" i="8" s="1"/>
  <c r="V9" i="8"/>
  <c r="AC9" i="8" s="1"/>
  <c r="V30" i="8"/>
  <c r="AC30" i="8" s="1"/>
  <c r="V26" i="8"/>
  <c r="AC26" i="8" s="1"/>
  <c r="V15" i="8"/>
  <c r="AC15" i="8" s="1"/>
  <c r="M44" i="1"/>
  <c r="E37" i="2"/>
  <c r="L37" i="2" s="1"/>
  <c r="P35" i="1"/>
  <c r="J44" i="1"/>
  <c r="K34" i="2"/>
  <c r="K32" i="2"/>
  <c r="K30" i="2"/>
  <c r="K29" i="2"/>
  <c r="J48" i="1"/>
  <c r="K23" i="2"/>
  <c r="K20" i="2"/>
  <c r="K14" i="2"/>
  <c r="K12" i="2"/>
  <c r="N44" i="1"/>
  <c r="N48" i="1"/>
  <c r="P48" i="1" s="1"/>
  <c r="Q48" i="1" s="1"/>
  <c r="R48" i="1" s="1"/>
  <c r="P26" i="1"/>
  <c r="Q26" i="1" s="1"/>
  <c r="R26" i="1" s="1"/>
  <c r="P19" i="1"/>
  <c r="Q19" i="1" s="1"/>
  <c r="R19" i="1" s="1"/>
  <c r="P15" i="1"/>
  <c r="P36" i="1"/>
  <c r="Q36" i="1" s="1"/>
  <c r="R36" i="1" s="1"/>
  <c r="P17" i="1"/>
  <c r="K35" i="2"/>
  <c r="K17" i="2"/>
  <c r="S22" i="1" l="1"/>
  <c r="S24" i="1"/>
  <c r="S13" i="1"/>
  <c r="S28" i="1"/>
  <c r="S36" i="1"/>
  <c r="S31" i="1"/>
  <c r="L38" i="1"/>
  <c r="T38" i="1" s="1"/>
  <c r="S37" i="1"/>
  <c r="S27" i="1"/>
  <c r="C38" i="2"/>
  <c r="S19" i="1"/>
  <c r="N38" i="1"/>
  <c r="S11" i="1"/>
  <c r="V37" i="8"/>
  <c r="AC37" i="8" s="1"/>
  <c r="AR43" i="1"/>
  <c r="S21" i="1"/>
  <c r="U42" i="8"/>
  <c r="U44" i="8" s="1"/>
  <c r="L26" i="2"/>
  <c r="S26" i="1" s="1"/>
  <c r="AU43" i="1"/>
  <c r="I18" i="2"/>
  <c r="K18" i="1"/>
  <c r="L18" i="1" s="1"/>
  <c r="T18" i="1" s="1"/>
  <c r="L35" i="2"/>
  <c r="S35" i="1" s="1"/>
  <c r="Q15" i="1"/>
  <c r="R15" i="1" s="1"/>
  <c r="Q35" i="1"/>
  <c r="R35" i="1" s="1"/>
  <c r="Q17" i="1"/>
  <c r="R17" i="1" s="1"/>
  <c r="BB38" i="1"/>
  <c r="AX38" i="1"/>
  <c r="P13" i="1"/>
  <c r="P37" i="1"/>
  <c r="Q37" i="1" s="1"/>
  <c r="R37" i="1" s="1"/>
  <c r="P25" i="1"/>
  <c r="Q25" i="1" s="1"/>
  <c r="R25" i="1" s="1"/>
  <c r="P21" i="1"/>
  <c r="P31" i="1"/>
  <c r="Q31" i="1" s="1"/>
  <c r="R31" i="1" s="1"/>
  <c r="P27" i="1"/>
  <c r="Q27" i="1" s="1"/>
  <c r="R27" i="1" s="1"/>
  <c r="P24" i="1"/>
  <c r="Q24" i="1" s="1"/>
  <c r="R24" i="1" s="1"/>
  <c r="P20" i="1"/>
  <c r="P12" i="1"/>
  <c r="P34" i="1"/>
  <c r="P30" i="1"/>
  <c r="P32" i="1"/>
  <c r="P23" i="1"/>
  <c r="Q23" i="1" s="1"/>
  <c r="R23" i="1" s="1"/>
  <c r="P33" i="1"/>
  <c r="P29" i="1"/>
  <c r="Q29" i="1" s="1"/>
  <c r="R29" i="1" s="1"/>
  <c r="P22" i="1"/>
  <c r="Q22" i="1" s="1"/>
  <c r="R22" i="1" s="1"/>
  <c r="P14" i="1"/>
  <c r="P10" i="1"/>
  <c r="P11" i="1"/>
  <c r="P44" i="1"/>
  <c r="P16" i="1"/>
  <c r="P18" i="1"/>
  <c r="BB100" i="1"/>
  <c r="K10" i="2"/>
  <c r="Y7" i="8"/>
  <c r="Y42" i="8" s="1"/>
  <c r="T42" i="8"/>
  <c r="V7" i="8"/>
  <c r="L17" i="2"/>
  <c r="S17" i="1" s="1"/>
  <c r="L12" i="2"/>
  <c r="S12" i="1" s="1"/>
  <c r="L25" i="2"/>
  <c r="S25" i="1" s="1"/>
  <c r="L44" i="1"/>
  <c r="L34" i="2"/>
  <c r="S34" i="1" s="1"/>
  <c r="L30" i="2"/>
  <c r="S30" i="1" s="1"/>
  <c r="L32" i="2"/>
  <c r="S32" i="1" s="1"/>
  <c r="L23" i="2"/>
  <c r="S23" i="1" s="1"/>
  <c r="L29" i="2"/>
  <c r="S29" i="1" s="1"/>
  <c r="L14" i="2"/>
  <c r="S14" i="1" s="1"/>
  <c r="M40" i="1"/>
  <c r="E38" i="2"/>
  <c r="L48" i="1"/>
  <c r="L20" i="2"/>
  <c r="S20" i="1" s="1"/>
  <c r="P28" i="1"/>
  <c r="Q28" i="1" s="1"/>
  <c r="R28" i="1" s="1"/>
  <c r="I40" i="1"/>
  <c r="E40" i="1"/>
  <c r="T40" i="1" l="1"/>
  <c r="K40" i="1"/>
  <c r="I40" i="2"/>
  <c r="K18" i="2"/>
  <c r="L18" i="2" s="1"/>
  <c r="S18" i="1" s="1"/>
  <c r="AU44" i="1"/>
  <c r="AU45" i="1" s="1"/>
  <c r="AU54" i="1" s="1"/>
  <c r="Q16" i="1"/>
  <c r="R16" i="1" s="1"/>
  <c r="Q11" i="1"/>
  <c r="R11" i="1" s="1"/>
  <c r="Q33" i="1"/>
  <c r="R33" i="1" s="1"/>
  <c r="Q32" i="1"/>
  <c r="R32" i="1" s="1"/>
  <c r="Q34" i="1"/>
  <c r="R34" i="1" s="1"/>
  <c r="Q21" i="1"/>
  <c r="R21" i="1" s="1"/>
  <c r="Q18" i="1"/>
  <c r="R18" i="1" s="1"/>
  <c r="Q44" i="1"/>
  <c r="R44" i="1" s="1"/>
  <c r="Q14" i="1"/>
  <c r="R14" i="1" s="1"/>
  <c r="Q30" i="1"/>
  <c r="R30" i="1" s="1"/>
  <c r="Q12" i="1"/>
  <c r="R12" i="1" s="1"/>
  <c r="Q13" i="1"/>
  <c r="R13" i="1" s="1"/>
  <c r="P38" i="1"/>
  <c r="P40" i="1" s="1"/>
  <c r="Q20" i="1"/>
  <c r="R20" i="1" s="1"/>
  <c r="V42" i="8"/>
  <c r="AC7" i="8"/>
  <c r="AC97" i="8" s="1"/>
  <c r="Y43" i="8"/>
  <c r="Y44" i="8" s="1"/>
  <c r="Y51" i="8" s="1"/>
  <c r="J40" i="1"/>
  <c r="G40" i="4"/>
  <c r="I15" i="4"/>
  <c r="J15" i="4" s="1"/>
  <c r="L40" i="1"/>
  <c r="Q38" i="1" l="1"/>
  <c r="R38" i="1" s="1"/>
  <c r="C15" i="2"/>
  <c r="E15" i="2" s="1"/>
  <c r="L15" i="2" s="1"/>
  <c r="S15" i="1" s="1"/>
  <c r="K38" i="2"/>
  <c r="K40" i="2" s="1"/>
  <c r="C40" i="1"/>
  <c r="L38" i="2" l="1"/>
  <c r="S38" i="1" s="1"/>
  <c r="N40" i="1"/>
  <c r="I10" i="4" l="1"/>
  <c r="I40" i="4" l="1"/>
  <c r="J10" i="4"/>
  <c r="C10" i="2" l="1"/>
  <c r="C40" i="2" s="1"/>
  <c r="J40" i="4"/>
  <c r="Q10" i="1"/>
  <c r="Q40" i="1" l="1"/>
  <c r="R10" i="1"/>
  <c r="R40" i="1" s="1"/>
  <c r="E10" i="2"/>
  <c r="E40" i="2" s="1"/>
  <c r="T48" i="1"/>
  <c r="L10" i="2" l="1"/>
  <c r="L40" i="2" l="1"/>
  <c r="S10" i="1"/>
  <c r="T42" i="1"/>
  <c r="T43" i="1" l="1"/>
</calcChain>
</file>

<file path=xl/comments1.xml><?xml version="1.0" encoding="utf-8"?>
<comments xmlns="http://schemas.openxmlformats.org/spreadsheetml/2006/main">
  <authors>
    <author>cqqusuario</author>
  </authors>
  <commentList>
    <comment ref="W31" authorId="0" shape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falta pagar inv 0299n/16
</t>
        </r>
      </text>
    </comment>
  </commentList>
</comments>
</file>

<file path=xl/sharedStrings.xml><?xml version="1.0" encoding="utf-8"?>
<sst xmlns="http://schemas.openxmlformats.org/spreadsheetml/2006/main" count="1100" uniqueCount="325">
  <si>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</si>
  <si>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</si>
  <si>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</si>
  <si>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</si>
  <si>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</si>
  <si>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</si>
  <si>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</si>
  <si>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</si>
  <si>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</si>
  <si>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</si>
  <si>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</si>
  <si>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</si>
  <si>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</si>
  <si>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</si>
  <si>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</si>
  <si>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</si>
  <si>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</si>
  <si>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</si>
  <si>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</si>
  <si>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</si>
  <si>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</si>
  <si>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</si>
  <si>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</si>
  <si>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</si>
  <si>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</si>
  <si>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</si>
  <si>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</si>
  <si>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</si>
  <si>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</si>
  <si>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</si>
  <si>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</si>
  <si>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Infonavit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</si>
  <si>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</si>
  <si>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</si>
  <si>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</si>
  <si>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</si>
  <si>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</si>
  <si>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</si>
  <si>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</si>
  <si>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</si>
  <si>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</si>
  <si>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</si>
  <si>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</si>
  <si>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</si>
  <si>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</si>
  <si>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</si>
  <si>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</si>
  <si>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</si>
  <si>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</si>
  <si>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</si>
  <si>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</si>
  <si>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</si>
  <si>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</si>
  <si>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</si>
  <si>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</si>
  <si>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</si>
  <si>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</si>
  <si>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</si>
  <si>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</si>
  <si>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</si>
  <si>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</si>
  <si>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</si>
  <si>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</si>
  <si>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</si>
  <si>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</si>
  <si>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</si>
  <si>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</si>
  <si>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</si>
  <si>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</si>
  <si>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</si>
  <si>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</si>
  <si>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</si>
  <si>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</si>
  <si>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</si>
  <si>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</si>
  <si>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</si>
  <si>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</si>
  <si>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</si>
  <si>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</si>
  <si>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</si>
  <si>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</si>
  <si>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</si>
  <si>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</si>
  <si>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</si>
  <si>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</si>
  <si>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</si>
  <si>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</si>
  <si>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</si>
  <si>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</si>
  <si>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</si>
  <si>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</si>
  <si>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</si>
  <si>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</si>
  <si>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</si>
  <si>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</si>
  <si>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</si>
  <si>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</si>
  <si>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</si>
  <si>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</si>
  <si>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</si>
  <si>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</si>
  <si>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</si>
  <si>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</si>
  <si>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</si>
  <si>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</si>
  <si>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</si>
  <si>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</si>
  <si>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</si>
  <si>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</si>
  <si>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</si>
  <si>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</si>
  <si>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</si>
  <si>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</si>
  <si>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</si>
  <si>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</si>
  <si>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</si>
  <si>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</si>
  <si>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</si>
  <si>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</si>
  <si>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</si>
  <si>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</si>
  <si>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</si>
  <si>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</si>
  <si>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</si>
  <si>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</si>
  <si>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</si>
  <si>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</si>
  <si>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</si>
  <si>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</si>
  <si>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</si>
  <si>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</si>
  <si>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</si>
  <si>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</si>
  <si>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</si>
  <si>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</si>
  <si>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</si>
  <si>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</si>
  <si>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</si>
  <si>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</si>
  <si>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</si>
  <si>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</si>
  <si>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</si>
  <si>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</si>
  <si>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</si>
  <si>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</si>
  <si>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</si>
  <si>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</si>
  <si>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</si>
  <si>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</si>
  <si>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</si>
  <si>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</si>
  <si>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</si>
  <si>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</si>
  <si>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</si>
  <si>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</si>
  <si>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</si>
  <si>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</si>
  <si>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</si>
  <si>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</si>
  <si>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</si>
  <si>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</si>
  <si>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</si>
  <si>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</si>
  <si>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</si>
  <si>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</si>
  <si>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</si>
  <si>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</si>
  <si>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</si>
  <si>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</si>
  <si>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</si>
  <si>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</si>
  <si>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</si>
  <si>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</si>
  <si>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</si>
  <si>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</si>
  <si>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</si>
  <si>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</si>
  <si>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</si>
  <si>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</si>
  <si>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</si>
  <si>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</si>
  <si>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</si>
  <si>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</si>
  <si>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</si>
  <si>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</si>
  <si>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</si>
  <si>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</si>
  <si>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</si>
  <si>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</si>
  <si>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</si>
  <si>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</si>
  <si>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</si>
  <si>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</si>
  <si>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</si>
  <si>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</si>
  <si>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</si>
  <si>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</si>
  <si>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</si>
  <si>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</si>
  <si>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</si>
  <si>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</si>
  <si>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</si>
  <si>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</si>
  <si>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</si>
  <si>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</si>
  <si>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</si>
  <si>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</si>
  <si>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</si>
  <si>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</si>
  <si>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</si>
  <si>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</si>
  <si>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</si>
  <si>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</si>
  <si>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</si>
  <si>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</si>
  <si>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</si>
  <si>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</si>
  <si>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</si>
  <si>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</si>
  <si>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</si>
  <si>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</si>
  <si>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</si>
  <si>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</si>
  <si>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</si>
  <si>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</si>
  <si>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</si>
  <si>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</si>
  <si>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</si>
  <si>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</si>
  <si>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</si>
  <si>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</si>
  <si>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</si>
  <si>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</si>
  <si>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</si>
  <si>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</si>
  <si>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</si>
  <si>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</si>
  <si>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</si>
  <si>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</si>
  <si>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</si>
  <si>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</si>
  <si>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</si>
  <si>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</si>
  <si>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</si>
  <si>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</si>
  <si>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</si>
  <si>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</si>
  <si>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0CCE8</t>
  </si>
  <si>
    <t>Periodo 8 al 8 Semanal del 17/02/2016 al 23/02/2016</t>
  </si>
  <si>
    <t>Periodo Semana 08</t>
  </si>
  <si>
    <t>17/02/2016 AL 23/02/2016</t>
  </si>
  <si>
    <t>DISPERCION</t>
  </si>
  <si>
    <t>DIFERENCIA</t>
  </si>
  <si>
    <t>No. Cuenta</t>
  </si>
  <si>
    <t>2983764567</t>
  </si>
  <si>
    <t>2948214670</t>
  </si>
  <si>
    <t>1482165252</t>
  </si>
  <si>
    <t>2717430477</t>
  </si>
  <si>
    <t>1,056.3 DE INFONAVIT QUE QUEDA A DEBER</t>
  </si>
  <si>
    <t>2799505563</t>
  </si>
  <si>
    <t>2947946147</t>
  </si>
  <si>
    <t>CARRANCO MANCERA VIRIDIANA</t>
  </si>
  <si>
    <t>2730894303</t>
  </si>
  <si>
    <t>2952119943</t>
  </si>
  <si>
    <t>2763908836</t>
  </si>
  <si>
    <t>REGISTRO DUPLICADO</t>
  </si>
  <si>
    <t>1256980872</t>
  </si>
  <si>
    <t>2863632784</t>
  </si>
  <si>
    <t>2845119553</t>
  </si>
  <si>
    <t>GONZALEZ GARCIA LUIS ROBERTO</t>
  </si>
  <si>
    <t>2875214688</t>
  </si>
  <si>
    <t>2885831555</t>
  </si>
  <si>
    <t>1499469494</t>
  </si>
  <si>
    <t>1457482116</t>
  </si>
  <si>
    <t>2872328917</t>
  </si>
  <si>
    <t>GALAVIZ GONZALEZ ISAIAS</t>
  </si>
  <si>
    <t>ENTRARON EL LUNES 15/02</t>
  </si>
  <si>
    <t>SIN CUENTA PERDIO IFE</t>
  </si>
  <si>
    <t>2735539994</t>
  </si>
  <si>
    <t>2907255446</t>
  </si>
  <si>
    <t>LOPEZ VELAZQUEZ FRANCISCO DE ASIS</t>
  </si>
  <si>
    <t>2986252915</t>
  </si>
  <si>
    <t>2986347665</t>
  </si>
  <si>
    <t>2885838584</t>
  </si>
  <si>
    <t>2906306063</t>
  </si>
  <si>
    <t xml:space="preserve">PAGAR SOLO COMISIONES POR SINDICATO, ESTA DE INCAPACIDAD </t>
  </si>
  <si>
    <t>2971591843</t>
  </si>
  <si>
    <t>1473959848</t>
  </si>
  <si>
    <t>NETO EMPLEADO</t>
  </si>
  <si>
    <t>Comisión empleado</t>
  </si>
  <si>
    <t>0CM12</t>
  </si>
  <si>
    <t>0GG15</t>
  </si>
  <si>
    <t>Carranco Mancera Viridiana</t>
  </si>
  <si>
    <t>Galaviz Gonzalez Isaias</t>
  </si>
  <si>
    <t>0LV15</t>
  </si>
  <si>
    <t>Lopez Velazquez Francisco De Asis</t>
  </si>
  <si>
    <t>Reg Pat IMSS:B4251548102</t>
  </si>
  <si>
    <t>VERIFICAR DIAS DE INCAPACIDAD</t>
  </si>
  <si>
    <t>BANCOMER</t>
  </si>
  <si>
    <t>EFECTIVO</t>
  </si>
  <si>
    <t>0CCR8</t>
  </si>
  <si>
    <t>CELAYA SEMANAL</t>
  </si>
  <si>
    <t>Periodo 9 al 9 Semanal del 24/02/2016 al 01/03/2016</t>
  </si>
  <si>
    <t>Periodo Semana 09</t>
  </si>
  <si>
    <t>24/02/2016 AL 01/03/2016</t>
  </si>
  <si>
    <t>Subsidio</t>
  </si>
  <si>
    <t>134.46 queda a deber de infonavit</t>
  </si>
  <si>
    <t>323.13 queda a deber de infonavit</t>
  </si>
  <si>
    <t>TOTAL DEDUCCIONES</t>
  </si>
  <si>
    <t>PENDIENTE COBRAR EN  SEM 09_10</t>
  </si>
  <si>
    <t>ENVIAR CHEQUE</t>
  </si>
  <si>
    <t>ALECSA CELAYA, SRL DE CV</t>
  </si>
  <si>
    <t xml:space="preserve">DESGLOSE DE NOMINA 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</si>
  <si>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</si>
  <si>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</si>
  <si>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</si>
  <si>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</si>
  <si>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</si>
  <si>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</si>
  <si>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</si>
  <si>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</si>
  <si>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</si>
  <si>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</si>
  <si>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SEMANA 09</t>
  </si>
  <si>
    <t>02/03/2016 AL 08/03/2016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</si>
</sst>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indexed="60"/>
      <name val="Arial"/>
      <family val="2"/>
    </font>
    <font>
      <b/>
      <sz val="11"/>
      <color indexed="4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49" fontId="19" fillId="0" borderId="0" xfId="0" applyNumberFormat="1" applyFont="1" applyFill="1"/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0" fontId="16" fillId="11" borderId="0" xfId="0" applyFont="1" applyFill="1"/>
    <xf numFmtId="0" fontId="0" fillId="0" borderId="0" xfId="0"/>
    <xf numFmtId="0" fontId="30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16" fillId="0" borderId="0" xfId="0" applyNumberFormat="1" applyFont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0" fontId="31" fillId="0" borderId="0" xfId="0" applyFont="1" applyAlignment="1">
      <alignment horizontal="left" vertical="center"/>
    </xf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16" fillId="12" borderId="0" xfId="1" applyFont="1" applyFill="1"/>
    <xf numFmtId="0" fontId="16" fillId="13" borderId="0" xfId="0" applyFont="1" applyFill="1"/>
    <xf numFmtId="43" fontId="26" fillId="4" borderId="4" xfId="1" applyFont="1" applyFill="1" applyBorder="1" applyAlignment="1">
      <alignment horizontal="center" wrapText="1"/>
    </xf>
    <xf numFmtId="0" fontId="17" fillId="0" borderId="0" xfId="0" applyFont="1" applyAlignme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17" fillId="0" borderId="0" xfId="0" applyFont="1" applyProtection="1"/>
    <xf numFmtId="0" fontId="32" fillId="0" borderId="0" xfId="0" applyFont="1"/>
    <xf numFmtId="43" fontId="32" fillId="4" borderId="4" xfId="1" applyFont="1" applyFill="1" applyBorder="1" applyAlignment="1">
      <alignment horizontal="center" vertical="center" wrapText="1"/>
    </xf>
    <xf numFmtId="43" fontId="33" fillId="0" borderId="0" xfId="1" applyFont="1" applyFill="1"/>
    <xf numFmtId="43" fontId="17" fillId="0" borderId="0" xfId="0" applyNumberFormat="1" applyFont="1" applyFill="1"/>
    <xf numFmtId="43" fontId="14" fillId="0" borderId="0" xfId="1" applyFont="1" applyFill="1"/>
    <xf numFmtId="43" fontId="17" fillId="0" borderId="0" xfId="1" applyFont="1" applyFill="1"/>
    <xf numFmtId="0" fontId="25" fillId="0" borderId="0" xfId="0" applyFont="1" applyFill="1" applyAlignment="1">
      <alignment horizontal="left"/>
    </xf>
    <xf numFmtId="0" fontId="17" fillId="3" borderId="0" xfId="0" applyFont="1" applyFill="1"/>
    <xf numFmtId="0" fontId="25" fillId="3" borderId="4" xfId="0" applyFont="1" applyFill="1" applyBorder="1" applyAlignment="1">
      <alignment horizontal="right"/>
    </xf>
    <xf numFmtId="43" fontId="22" fillId="3" borderId="4" xfId="1" applyFont="1" applyFill="1" applyBorder="1"/>
    <xf numFmtId="43" fontId="25" fillId="3" borderId="4" xfId="1" applyFont="1" applyFill="1" applyBorder="1"/>
    <xf numFmtId="43" fontId="28" fillId="3" borderId="4" xfId="1" applyFont="1" applyFill="1" applyBorder="1"/>
    <xf numFmtId="43" fontId="26" fillId="3" borderId="4" xfId="1" applyFont="1" applyFill="1" applyBorder="1"/>
    <xf numFmtId="43" fontId="25" fillId="3" borderId="4" xfId="1" applyFont="1" applyFill="1" applyBorder="1" applyAlignment="1">
      <alignment horizontal="center"/>
    </xf>
    <xf numFmtId="0" fontId="25" fillId="3" borderId="0" xfId="0" applyFont="1" applyFill="1"/>
    <xf numFmtId="43" fontId="17" fillId="3" borderId="0" xfId="0" applyNumberFormat="1" applyFont="1" applyFill="1"/>
    <xf numFmtId="0" fontId="25" fillId="3" borderId="0" xfId="0" applyFont="1" applyFill="1" applyAlignment="1">
      <alignment horizontal="left"/>
    </xf>
    <xf numFmtId="4" fontId="0" fillId="0" borderId="0" xfId="0" applyNumberFormat="1" applyFill="1"/>
    <xf numFmtId="43" fontId="22" fillId="0" borderId="0" xfId="1" applyFont="1"/>
    <xf numFmtId="43" fontId="32" fillId="0" borderId="7" xfId="1" applyFont="1" applyBorder="1"/>
    <xf numFmtId="43" fontId="32" fillId="0" borderId="0" xfId="1" applyFont="1"/>
    <xf numFmtId="43" fontId="32" fillId="7" borderId="4" xfId="1" applyFont="1" applyFill="1" applyBorder="1"/>
    <xf numFmtId="0" fontId="17" fillId="0" borderId="0" xfId="0" applyFont="1"/>
    <xf numFmtId="49" fontId="16" fillId="3" borderId="2" xfId="0" applyNumberFormat="1" applyFont="1" applyFill="1" applyBorder="1"/>
    <xf numFmtId="44" fontId="16" fillId="3" borderId="2" xfId="2" applyFont="1" applyFill="1" applyBorder="1"/>
    <xf numFmtId="43" fontId="16" fillId="3" borderId="0" xfId="1" applyFont="1" applyFill="1"/>
    <xf numFmtId="0" fontId="17" fillId="3" borderId="2" xfId="0" applyFont="1" applyFill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164" fontId="34" fillId="0" borderId="0" xfId="0" applyNumberFormat="1" applyFont="1" applyFill="1"/>
    <xf numFmtId="0" fontId="34" fillId="0" borderId="0" xfId="0" applyFont="1" applyFill="1"/>
    <xf numFmtId="43" fontId="34" fillId="0" borderId="0" xfId="0" applyNumberFormat="1" applyFont="1" applyFill="1"/>
    <xf numFmtId="0" fontId="35" fillId="0" borderId="0" xfId="0" applyFont="1" applyFill="1"/>
    <xf numFmtId="164" fontId="35" fillId="0" borderId="0" xfId="0" applyNumberFormat="1" applyFont="1" applyFill="1"/>
    <xf numFmtId="43" fontId="35" fillId="0" borderId="0" xfId="0" applyNumberFormat="1" applyFont="1" applyFill="1"/>
    <xf numFmtId="164" fontId="13" fillId="0" borderId="11" xfId="0" applyNumberFormat="1" applyFont="1" applyFill="1" applyBorder="1"/>
    <xf numFmtId="8" fontId="2" fillId="0" borderId="0" xfId="0" applyNumberFormat="1" applyFont="1" applyFill="1"/>
    <xf numFmtId="0" fontId="2" fillId="0" borderId="0" xfId="0" applyFont="1" applyFill="1" applyAlignment="1">
      <alignment horizontal="left"/>
    </xf>
    <xf numFmtId="8" fontId="2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17" fillId="0" borderId="0" xfId="0" applyFont="1" applyAlignment="1"/>
    <xf numFmtId="49" fontId="1" fillId="0" borderId="0" xfId="0" applyNumberFormat="1" applyFont="1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43" fontId="20" fillId="0" borderId="0" xfId="1" applyFont="1" applyFill="1" applyAlignment="1" applyProtection="1">
      <alignment horizontal="center"/>
    </xf>
    <xf numFmtId="43" fontId="21" fillId="0" borderId="0" xfId="1" applyFont="1" applyFill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Fill="1" applyProtection="1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15" fontId="36" fillId="0" borderId="0" xfId="3" applyNumberFormat="1" applyFont="1" applyFill="1" applyAlignment="1" applyProtection="1">
      <alignment horizontal="left"/>
    </xf>
    <xf numFmtId="15" fontId="36" fillId="0" borderId="0" xfId="3" applyNumberFormat="1" applyFont="1" applyFill="1" applyAlignment="1" applyProtection="1">
      <alignment horizontal="center"/>
    </xf>
    <xf numFmtId="0" fontId="21" fillId="0" borderId="0" xfId="0" applyFont="1"/>
    <xf numFmtId="43" fontId="20" fillId="0" borderId="0" xfId="1" applyFont="1"/>
    <xf numFmtId="43" fontId="21" fillId="0" borderId="0" xfId="1" applyFont="1"/>
    <xf numFmtId="43" fontId="21" fillId="4" borderId="4" xfId="1" applyFont="1" applyFill="1" applyBorder="1" applyAlignment="1">
      <alignment horizontal="center" wrapText="1"/>
    </xf>
    <xf numFmtId="43" fontId="21" fillId="4" borderId="12" xfId="1" applyFont="1" applyFill="1" applyBorder="1" applyAlignment="1">
      <alignment horizontal="center" wrapText="1"/>
    </xf>
    <xf numFmtId="0" fontId="21" fillId="0" borderId="0" xfId="0" applyFont="1" applyFill="1"/>
    <xf numFmtId="43" fontId="21" fillId="4" borderId="4" xfId="1" applyFont="1" applyFill="1" applyBorder="1" applyAlignment="1">
      <alignment horizontal="center" vertical="center" wrapText="1"/>
    </xf>
    <xf numFmtId="43" fontId="21" fillId="4" borderId="13" xfId="1" applyFont="1" applyFill="1" applyBorder="1" applyAlignment="1">
      <alignment horizontal="center" vertical="center" wrapText="1"/>
    </xf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43" fontId="20" fillId="0" borderId="4" xfId="1" applyFont="1" applyBorder="1"/>
    <xf numFmtId="43" fontId="20" fillId="6" borderId="4" xfId="1" applyFont="1" applyFill="1" applyBorder="1"/>
    <xf numFmtId="43" fontId="39" fillId="6" borderId="4" xfId="1" applyFont="1" applyFill="1" applyBorder="1"/>
    <xf numFmtId="43" fontId="21" fillId="7" borderId="4" xfId="1" applyFont="1" applyFill="1" applyBorder="1"/>
    <xf numFmtId="43" fontId="20" fillId="8" borderId="4" xfId="1" applyFont="1" applyFill="1" applyBorder="1"/>
    <xf numFmtId="43" fontId="20" fillId="9" borderId="4" xfId="1" applyFont="1" applyFill="1" applyBorder="1" applyAlignment="1">
      <alignment horizontal="center"/>
    </xf>
    <xf numFmtId="43" fontId="20" fillId="0" borderId="4" xfId="1" applyFont="1" applyFill="1" applyBorder="1" applyAlignment="1">
      <alignment horizontal="center"/>
    </xf>
    <xf numFmtId="43" fontId="20" fillId="10" borderId="4" xfId="1" applyFont="1" applyFill="1" applyBorder="1" applyAlignment="1">
      <alignment horizontal="center"/>
    </xf>
    <xf numFmtId="43" fontId="20" fillId="0" borderId="0" xfId="0" applyNumberFormat="1" applyFont="1" applyFill="1"/>
    <xf numFmtId="0" fontId="20" fillId="6" borderId="4" xfId="0" applyFont="1" applyFill="1" applyBorder="1"/>
    <xf numFmtId="0" fontId="20" fillId="3" borderId="0" xfId="0" applyFont="1" applyFill="1"/>
    <xf numFmtId="43" fontId="20" fillId="3" borderId="0" xfId="0" applyNumberFormat="1" applyFont="1" applyFill="1"/>
    <xf numFmtId="0" fontId="21" fillId="0" borderId="4" xfId="0" applyFont="1" applyFill="1" applyBorder="1"/>
    <xf numFmtId="0" fontId="20" fillId="0" borderId="6" xfId="0" applyFont="1" applyFill="1" applyBorder="1"/>
    <xf numFmtId="43" fontId="20" fillId="0" borderId="6" xfId="1" applyFont="1" applyFill="1" applyBorder="1"/>
    <xf numFmtId="43" fontId="21" fillId="0" borderId="4" xfId="1" applyFont="1" applyFill="1" applyBorder="1"/>
    <xf numFmtId="43" fontId="21" fillId="0" borderId="6" xfId="1" applyFont="1" applyFill="1" applyBorder="1"/>
    <xf numFmtId="0" fontId="20" fillId="0" borderId="0" xfId="0" applyFont="1"/>
    <xf numFmtId="0" fontId="21" fillId="0" borderId="7" xfId="0" applyFont="1" applyBorder="1"/>
    <xf numFmtId="43" fontId="21" fillId="0" borderId="7" xfId="1" applyFont="1" applyBorder="1"/>
    <xf numFmtId="0" fontId="21" fillId="0" borderId="4" xfId="0" applyFont="1" applyBorder="1"/>
    <xf numFmtId="0" fontId="21" fillId="0" borderId="4" xfId="0" applyFont="1" applyBorder="1" applyAlignment="1">
      <alignment horizontal="right"/>
    </xf>
    <xf numFmtId="0" fontId="40" fillId="0" borderId="0" xfId="0" applyFont="1"/>
    <xf numFmtId="43" fontId="21" fillId="0" borderId="0" xfId="1" applyFont="1" applyBorder="1"/>
    <xf numFmtId="43" fontId="21" fillId="7" borderId="0" xfId="1" applyFont="1" applyFill="1" applyBorder="1"/>
    <xf numFmtId="3" fontId="21" fillId="4" borderId="4" xfId="0" applyNumberFormat="1" applyFont="1" applyFill="1" applyBorder="1"/>
    <xf numFmtId="43" fontId="21" fillId="4" borderId="0" xfId="1" applyFont="1" applyFill="1" applyBorder="1" applyAlignment="1">
      <alignment horizontal="center" wrapText="1"/>
    </xf>
    <xf numFmtId="43" fontId="21" fillId="4" borderId="0" xfId="1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49" fontId="16" fillId="13" borderId="2" xfId="0" applyNumberFormat="1" applyFont="1" applyFill="1" applyBorder="1"/>
    <xf numFmtId="0" fontId="0" fillId="13" borderId="2" xfId="0" applyFill="1" applyBorder="1"/>
    <xf numFmtId="44" fontId="16" fillId="13" borderId="2" xfId="2" applyFont="1" applyFill="1" applyBorder="1"/>
    <xf numFmtId="43" fontId="16" fillId="13" borderId="0" xfId="1" applyFont="1" applyFill="1"/>
    <xf numFmtId="0" fontId="20" fillId="13" borderId="4" xfId="0" applyFont="1" applyFill="1" applyBorder="1"/>
    <xf numFmtId="0" fontId="20" fillId="13" borderId="4" xfId="0" applyFont="1" applyFill="1" applyBorder="1" applyAlignment="1">
      <alignment horizontal="right"/>
    </xf>
    <xf numFmtId="43" fontId="20" fillId="13" borderId="4" xfId="1" applyFont="1" applyFill="1" applyBorder="1"/>
    <xf numFmtId="43" fontId="38" fillId="13" borderId="0" xfId="1" applyFont="1" applyFill="1"/>
    <xf numFmtId="43" fontId="39" fillId="13" borderId="4" xfId="1" applyFont="1" applyFill="1" applyBorder="1"/>
    <xf numFmtId="43" fontId="21" fillId="13" borderId="4" xfId="1" applyFont="1" applyFill="1" applyBorder="1"/>
    <xf numFmtId="43" fontId="20" fillId="13" borderId="4" xfId="1" applyFont="1" applyFill="1" applyBorder="1" applyAlignment="1">
      <alignment horizontal="center"/>
    </xf>
    <xf numFmtId="0" fontId="20" fillId="13" borderId="0" xfId="0" applyFont="1" applyFill="1"/>
    <xf numFmtId="43" fontId="20" fillId="13" borderId="0" xfId="0" applyNumberFormat="1" applyFont="1" applyFill="1"/>
    <xf numFmtId="0" fontId="17" fillId="13" borderId="2" xfId="0" applyFont="1" applyFill="1" applyBorder="1"/>
    <xf numFmtId="43" fontId="1" fillId="13" borderId="0" xfId="1" applyFont="1" applyFill="1"/>
    <xf numFmtId="43" fontId="20" fillId="13" borderId="0" xfId="1" applyFont="1" applyFill="1"/>
    <xf numFmtId="49" fontId="2" fillId="13" borderId="2" xfId="0" applyNumberFormat="1" applyFont="1" applyFill="1" applyBorder="1"/>
    <xf numFmtId="0" fontId="25" fillId="13" borderId="2" xfId="0" applyFont="1" applyFill="1" applyBorder="1"/>
    <xf numFmtId="0" fontId="20" fillId="13" borderId="0" xfId="0" applyFont="1" applyFill="1" applyAlignment="1">
      <alignment horizontal="left"/>
    </xf>
    <xf numFmtId="4" fontId="0" fillId="13" borderId="0" xfId="0" applyNumberFormat="1" applyFill="1"/>
    <xf numFmtId="12" fontId="20" fillId="13" borderId="4" xfId="1" applyNumberFormat="1" applyFont="1" applyFill="1" applyBorder="1"/>
    <xf numFmtId="0" fontId="25" fillId="13" borderId="4" xfId="0" applyFont="1" applyFill="1" applyBorder="1"/>
    <xf numFmtId="0" fontId="0" fillId="13" borderId="2" xfId="0" applyFont="1" applyFill="1" applyBorder="1"/>
    <xf numFmtId="43" fontId="1" fillId="13" borderId="4" xfId="1" applyFont="1" applyFill="1" applyBorder="1"/>
    <xf numFmtId="4" fontId="20" fillId="13" borderId="0" xfId="0" applyNumberFormat="1" applyFont="1" applyFill="1"/>
    <xf numFmtId="164" fontId="2" fillId="13" borderId="0" xfId="0" applyNumberFormat="1" applyFont="1" applyFill="1"/>
    <xf numFmtId="0" fontId="19" fillId="2" borderId="0" xfId="0" applyFont="1" applyFill="1" applyBorder="1" applyAlignment="1">
      <alignment horizontal="center" vertical="center" wrapText="1"/>
    </xf>
    <xf numFmtId="44" fontId="16" fillId="13" borderId="0" xfId="2" applyFont="1" applyFill="1" applyBorder="1"/>
    <xf numFmtId="164" fontId="21" fillId="0" borderId="0" xfId="0" applyNumberFormat="1" applyFont="1" applyFill="1" applyBorder="1"/>
    <xf numFmtId="44" fontId="16" fillId="3" borderId="0" xfId="2" applyFont="1" applyFill="1" applyBorder="1"/>
    <xf numFmtId="164" fontId="21" fillId="14" borderId="3" xfId="0" applyNumberFormat="1" applyFont="1" applyFill="1" applyBorder="1" applyAlignment="1">
      <alignment horizontal="center"/>
    </xf>
    <xf numFmtId="164" fontId="19" fillId="14" borderId="0" xfId="0" applyNumberFormat="1" applyFont="1" applyFill="1" applyAlignment="1">
      <alignment horizontal="center"/>
    </xf>
    <xf numFmtId="43" fontId="16" fillId="0" borderId="0" xfId="1" applyFont="1" applyFill="1" applyAlignment="1">
      <alignment horizontal="center" vertical="center"/>
    </xf>
    <xf numFmtId="0" fontId="44" fillId="0" borderId="14" xfId="0" applyFont="1" applyBorder="1"/>
    <xf numFmtId="0" fontId="43" fillId="0" borderId="14" xfId="0" applyFont="1" applyBorder="1"/>
    <xf numFmtId="14" fontId="44" fillId="0" borderId="14" xfId="0" applyNumberFormat="1" applyFont="1" applyBorder="1"/>
    <xf numFmtId="0" fontId="0" fillId="0" borderId="14" xfId="0" applyFont="1" applyBorder="1"/>
    <xf numFmtId="43" fontId="14" fillId="0" borderId="14" xfId="1" applyFont="1" applyBorder="1"/>
    <xf numFmtId="43" fontId="0" fillId="0" borderId="14" xfId="1" applyFont="1" applyBorder="1"/>
    <xf numFmtId="43" fontId="14" fillId="0" borderId="15" xfId="1" applyFont="1" applyBorder="1"/>
    <xf numFmtId="43" fontId="14" fillId="0" borderId="16" xfId="1" applyFont="1" applyBorder="1"/>
    <xf numFmtId="43" fontId="14" fillId="0" borderId="17" xfId="1" applyFont="1" applyBorder="1"/>
    <xf numFmtId="43" fontId="43" fillId="0" borderId="16" xfId="1" applyFont="1" applyBorder="1"/>
    <xf numFmtId="3" fontId="26" fillId="4" borderId="4" xfId="0" applyNumberFormat="1" applyFont="1" applyFill="1" applyBorder="1"/>
    <xf numFmtId="43" fontId="26" fillId="4" borderId="4" xfId="1" applyFont="1" applyFill="1" applyBorder="1" applyAlignment="1">
      <alignment horizontal="center" wrapText="1"/>
    </xf>
    <xf numFmtId="43" fontId="32" fillId="4" borderId="9" xfId="1" applyFont="1" applyFill="1" applyBorder="1" applyAlignment="1">
      <alignment horizontal="center" wrapText="1"/>
    </xf>
    <xf numFmtId="43" fontId="32" fillId="4" borderId="10" xfId="1" applyFont="1" applyFill="1" applyBorder="1" applyAlignment="1">
      <alignment horizontal="center" wrapText="1"/>
    </xf>
    <xf numFmtId="0" fontId="32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43" fontId="21" fillId="4" borderId="9" xfId="1" applyFont="1" applyFill="1" applyBorder="1" applyAlignment="1">
      <alignment horizontal="center" wrapText="1"/>
    </xf>
    <xf numFmtId="43" fontId="21" fillId="4" borderId="10" xfId="1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43" fontId="21" fillId="4" borderId="4" xfId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3" fontId="21" fillId="4" borderId="4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A22" workbookViewId="0">
      <selection activeCell="AE18" sqref="AE18"/>
    </sheetView>
  </sheetViews>
  <sheetFormatPr baseColWidth="10" defaultColWidth="18.28515625" defaultRowHeight="15.75" x14ac:dyDescent="0.25"/>
  <cols>
    <col min="1" max="1" width="18.28515625" style="98"/>
    <col min="2" max="2" width="39" style="98" bestFit="1" customWidth="1"/>
    <col min="3" max="3" width="7.7109375" style="98" bestFit="1" customWidth="1"/>
    <col min="4" max="4" width="20.85546875" style="98" customWidth="1"/>
    <col min="5" max="6" width="18.28515625" style="98" hidden="1" customWidth="1"/>
    <col min="7" max="8" width="18.28515625" style="98"/>
    <col min="9" max="10" width="18.28515625" style="80"/>
    <col min="11" max="13" width="18.28515625" style="80" customWidth="1"/>
    <col min="14" max="14" width="18.28515625" style="81"/>
    <col min="15" max="19" width="18.28515625" style="80"/>
    <col min="20" max="20" width="18.28515625" style="81"/>
    <col min="21" max="21" width="18.28515625" style="80"/>
    <col min="22" max="22" width="18.28515625" style="81"/>
    <col min="23" max="24" width="18.28515625" style="80"/>
    <col min="25" max="25" width="18.28515625" style="81"/>
    <col min="26" max="26" width="18.28515625" style="98"/>
    <col min="27" max="29" width="18.28515625" style="168"/>
    <col min="30" max="16384" width="18.28515625" style="98"/>
  </cols>
  <sheetData>
    <row r="1" spans="1:45" s="74" customFormat="1" x14ac:dyDescent="0.25">
      <c r="A1" s="69" t="s">
        <v>148</v>
      </c>
      <c r="B1" s="69"/>
      <c r="C1" s="69"/>
      <c r="D1" s="70"/>
      <c r="E1" s="70"/>
      <c r="F1" s="70"/>
      <c r="G1" s="70"/>
      <c r="H1" s="70"/>
      <c r="I1" s="71"/>
      <c r="J1" s="71"/>
      <c r="K1" s="71"/>
      <c r="L1" s="71"/>
      <c r="M1" s="71"/>
      <c r="N1" s="72"/>
      <c r="O1" s="71"/>
      <c r="P1" s="71"/>
      <c r="Q1" s="71"/>
      <c r="R1" s="71"/>
      <c r="S1" s="71"/>
      <c r="T1" s="72"/>
      <c r="U1" s="71"/>
      <c r="V1" s="72"/>
      <c r="W1" s="71"/>
      <c r="X1" s="71"/>
      <c r="Y1" s="72"/>
      <c r="Z1" s="73"/>
      <c r="AA1" s="145"/>
      <c r="AB1" s="145"/>
      <c r="AC1" s="145"/>
    </row>
    <row r="2" spans="1:45" s="74" customFormat="1" x14ac:dyDescent="0.25">
      <c r="A2" s="75" t="s">
        <v>149</v>
      </c>
      <c r="B2" s="75"/>
      <c r="C2" s="75"/>
      <c r="D2" s="76"/>
      <c r="E2" s="76"/>
      <c r="F2" s="76"/>
      <c r="G2" s="76"/>
      <c r="H2" s="76"/>
      <c r="I2" s="71"/>
      <c r="J2" s="71"/>
      <c r="K2" s="71"/>
      <c r="L2" s="71"/>
      <c r="M2" s="71"/>
      <c r="N2" s="72"/>
      <c r="O2" s="71" t="s">
        <v>150</v>
      </c>
      <c r="P2" s="71"/>
      <c r="Q2" s="71"/>
      <c r="R2" s="71"/>
      <c r="S2" s="71"/>
      <c r="T2" s="72"/>
      <c r="U2" s="71"/>
      <c r="V2" s="72"/>
      <c r="W2" s="71"/>
      <c r="X2" s="71"/>
      <c r="Y2" s="72"/>
      <c r="Z2" s="73"/>
      <c r="AA2" s="145"/>
      <c r="AB2" s="145"/>
      <c r="AC2" s="145"/>
    </row>
    <row r="3" spans="1:45" s="74" customFormat="1" x14ac:dyDescent="0.25">
      <c r="A3" s="77" t="s">
        <v>249</v>
      </c>
      <c r="B3" s="77"/>
      <c r="C3" s="77"/>
      <c r="D3" s="78"/>
      <c r="E3" s="78"/>
      <c r="F3" s="78"/>
      <c r="G3" s="78"/>
      <c r="H3" s="78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2"/>
      <c r="U3" s="71"/>
      <c r="V3" s="72"/>
      <c r="W3" s="71"/>
      <c r="X3" s="71"/>
      <c r="Y3" s="72"/>
      <c r="Z3" s="73"/>
      <c r="AA3" s="145"/>
      <c r="AB3" s="145"/>
      <c r="AC3" s="145"/>
    </row>
    <row r="4" spans="1:45" s="79" customFormat="1" x14ac:dyDescent="0.25">
      <c r="A4" s="79" t="s">
        <v>250</v>
      </c>
      <c r="I4" s="80"/>
      <c r="J4" s="80"/>
      <c r="K4" s="80"/>
      <c r="L4" s="80"/>
      <c r="M4" s="80"/>
      <c r="N4" s="81"/>
      <c r="O4" s="80"/>
      <c r="P4" s="80"/>
      <c r="Q4" s="80"/>
      <c r="R4" s="80"/>
      <c r="S4" s="80"/>
      <c r="T4" s="81"/>
      <c r="U4" s="80"/>
      <c r="V4" s="81"/>
      <c r="W4" s="80"/>
      <c r="X4" s="80"/>
      <c r="Y4" s="81"/>
      <c r="AA4" s="146"/>
      <c r="AB4" s="146"/>
      <c r="AC4" s="146"/>
    </row>
    <row r="5" spans="1:45" s="79" customFormat="1" ht="15.75" customHeight="1" x14ac:dyDescent="0.25">
      <c r="A5" s="289" t="s">
        <v>151</v>
      </c>
      <c r="B5" s="289" t="s">
        <v>152</v>
      </c>
      <c r="C5" s="289" t="s">
        <v>153</v>
      </c>
      <c r="D5" s="289" t="s">
        <v>154</v>
      </c>
      <c r="E5" s="290" t="s">
        <v>155</v>
      </c>
      <c r="F5" s="290" t="s">
        <v>156</v>
      </c>
      <c r="G5" s="136"/>
      <c r="H5" s="136"/>
      <c r="I5" s="290" t="s">
        <v>157</v>
      </c>
      <c r="J5" s="136"/>
      <c r="K5" s="290" t="s">
        <v>158</v>
      </c>
      <c r="L5" s="290" t="s">
        <v>159</v>
      </c>
      <c r="M5" s="290" t="s">
        <v>160</v>
      </c>
      <c r="N5" s="290" t="s">
        <v>161</v>
      </c>
      <c r="O5" s="290" t="s">
        <v>162</v>
      </c>
      <c r="P5" s="290" t="s">
        <v>163</v>
      </c>
      <c r="Q5" s="290" t="s">
        <v>164</v>
      </c>
      <c r="R5" s="290" t="s">
        <v>165</v>
      </c>
      <c r="S5" s="290" t="s">
        <v>166</v>
      </c>
      <c r="T5" s="290" t="s">
        <v>167</v>
      </c>
      <c r="U5" s="290" t="s">
        <v>168</v>
      </c>
      <c r="V5" s="290" t="s">
        <v>169</v>
      </c>
      <c r="W5" s="290" t="s">
        <v>170</v>
      </c>
      <c r="X5" s="290" t="s">
        <v>171</v>
      </c>
      <c r="Y5" s="290" t="s">
        <v>172</v>
      </c>
      <c r="Z5" s="294" t="s">
        <v>173</v>
      </c>
      <c r="AA5" s="291" t="s">
        <v>251</v>
      </c>
      <c r="AB5" s="292"/>
      <c r="AC5" s="293" t="s">
        <v>252</v>
      </c>
      <c r="AD5" s="294" t="s">
        <v>253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</row>
    <row r="6" spans="1:45" s="79" customFormat="1" x14ac:dyDescent="0.25">
      <c r="A6" s="289"/>
      <c r="B6" s="289"/>
      <c r="C6" s="289"/>
      <c r="D6" s="289"/>
      <c r="E6" s="290"/>
      <c r="F6" s="290"/>
      <c r="G6" s="136" t="s">
        <v>174</v>
      </c>
      <c r="H6" s="136" t="s">
        <v>175</v>
      </c>
      <c r="I6" s="290"/>
      <c r="J6" s="136" t="s">
        <v>176</v>
      </c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4"/>
      <c r="AA6" s="147" t="s">
        <v>174</v>
      </c>
      <c r="AB6" s="147" t="s">
        <v>175</v>
      </c>
      <c r="AC6" s="293"/>
      <c r="AD6" s="294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x14ac:dyDescent="0.25">
      <c r="A7" s="83" t="s">
        <v>186</v>
      </c>
      <c r="B7" s="83" t="s">
        <v>191</v>
      </c>
      <c r="C7" s="84" t="s">
        <v>44</v>
      </c>
      <c r="D7" s="83" t="s">
        <v>188</v>
      </c>
      <c r="E7" s="83"/>
      <c r="F7" s="83"/>
      <c r="G7" s="86">
        <v>511.28</v>
      </c>
      <c r="H7" s="86">
        <v>1822.03</v>
      </c>
      <c r="I7" s="86">
        <f t="shared" ref="I7:I37" si="0">+G7+H7</f>
        <v>2333.31</v>
      </c>
      <c r="J7" s="148">
        <v>2351.39</v>
      </c>
      <c r="K7" s="89"/>
      <c r="L7" s="89"/>
      <c r="M7" s="90"/>
      <c r="N7" s="91">
        <f t="shared" ref="N7:N37" si="1">SUM(I7:L7)-M7</f>
        <v>4684.7</v>
      </c>
      <c r="O7" s="92"/>
      <c r="P7" s="93"/>
      <c r="Q7" s="93"/>
      <c r="R7" s="88"/>
      <c r="S7" s="86">
        <v>0</v>
      </c>
      <c r="T7" s="91">
        <f t="shared" ref="T7:T37" si="2">+N7-SUM(O7:S7)</f>
        <v>4684.7</v>
      </c>
      <c r="U7" s="94">
        <f t="shared" ref="U7:U37" si="3">IF(N7&gt;4500,N7*0.1,0)</f>
        <v>468.47</v>
      </c>
      <c r="V7" s="91">
        <f t="shared" ref="V7:V37" si="4">+T7-U7</f>
        <v>4216.2299999999996</v>
      </c>
      <c r="W7" s="95">
        <f t="shared" ref="W7:W37" si="5">IF(N7&lt;4500,N7*0.1,0)</f>
        <v>0</v>
      </c>
      <c r="X7" s="94">
        <f t="shared" ref="X7:X37" si="6">G7*0.02</f>
        <v>10.2256</v>
      </c>
      <c r="Y7" s="91">
        <f t="shared" ref="Y7:Y37" si="7">+N7+W7+X7</f>
        <v>4694.9255999999996</v>
      </c>
      <c r="Z7" s="96"/>
      <c r="AA7" s="23"/>
      <c r="AB7" s="23"/>
      <c r="AC7" s="149">
        <f>+AA7+AB7-V7</f>
        <v>-4216.2299999999996</v>
      </c>
      <c r="AD7" s="96" t="s">
        <v>254</v>
      </c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pans="1:45" x14ac:dyDescent="0.25">
      <c r="A8" s="83" t="s">
        <v>186</v>
      </c>
      <c r="B8" s="83" t="s">
        <v>192</v>
      </c>
      <c r="C8" s="84" t="s">
        <v>45</v>
      </c>
      <c r="D8" s="83" t="s">
        <v>48</v>
      </c>
      <c r="E8" s="83"/>
      <c r="F8" s="83"/>
      <c r="G8" s="86">
        <v>511.28</v>
      </c>
      <c r="H8" s="86">
        <v>0</v>
      </c>
      <c r="I8" s="86">
        <f t="shared" si="0"/>
        <v>511.28</v>
      </c>
      <c r="J8" s="150">
        <v>1236.0999999999999</v>
      </c>
      <c r="K8" s="88"/>
      <c r="L8" s="88"/>
      <c r="M8" s="90"/>
      <c r="N8" s="91">
        <f t="shared" si="1"/>
        <v>1747.3799999999999</v>
      </c>
      <c r="O8" s="92"/>
      <c r="P8" s="93"/>
      <c r="Q8" s="93"/>
      <c r="R8" s="88"/>
      <c r="S8" s="86">
        <v>0</v>
      </c>
      <c r="T8" s="91">
        <f t="shared" si="2"/>
        <v>1747.3799999999999</v>
      </c>
      <c r="U8" s="94">
        <f t="shared" si="3"/>
        <v>0</v>
      </c>
      <c r="V8" s="91">
        <f t="shared" si="4"/>
        <v>1747.3799999999999</v>
      </c>
      <c r="W8" s="95">
        <f t="shared" si="5"/>
        <v>174.738</v>
      </c>
      <c r="X8" s="94">
        <f t="shared" si="6"/>
        <v>10.2256</v>
      </c>
      <c r="Y8" s="91">
        <f t="shared" si="7"/>
        <v>1932.3435999999999</v>
      </c>
      <c r="Z8" s="96"/>
      <c r="AA8" s="23"/>
      <c r="AB8" s="23"/>
      <c r="AC8" s="149">
        <f t="shared" ref="AC8:AC37" si="8">+AA8+AB8-V8</f>
        <v>-1747.3799999999999</v>
      </c>
      <c r="AD8" s="96" t="s">
        <v>255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pans="1:45" x14ac:dyDescent="0.25">
      <c r="A9" s="83" t="s">
        <v>186</v>
      </c>
      <c r="B9" s="83" t="s">
        <v>190</v>
      </c>
      <c r="C9" s="84" t="s">
        <v>41</v>
      </c>
      <c r="D9" s="83" t="s">
        <v>48</v>
      </c>
      <c r="E9" s="83"/>
      <c r="F9" s="83"/>
      <c r="G9" s="86">
        <v>511.28</v>
      </c>
      <c r="H9" s="86">
        <v>0</v>
      </c>
      <c r="I9" s="86">
        <f t="shared" si="0"/>
        <v>511.28</v>
      </c>
      <c r="J9" s="151">
        <v>50.58</v>
      </c>
      <c r="K9" s="88"/>
      <c r="L9" s="88"/>
      <c r="M9" s="90"/>
      <c r="N9" s="91">
        <f t="shared" si="1"/>
        <v>561.86</v>
      </c>
      <c r="O9" s="92"/>
      <c r="P9" s="93"/>
      <c r="Q9" s="93"/>
      <c r="R9" s="88"/>
      <c r="S9" s="86">
        <v>134.46</v>
      </c>
      <c r="T9" s="91">
        <f t="shared" si="2"/>
        <v>427.4</v>
      </c>
      <c r="U9" s="94">
        <f t="shared" si="3"/>
        <v>0</v>
      </c>
      <c r="V9" s="91">
        <f t="shared" si="4"/>
        <v>427.4</v>
      </c>
      <c r="W9" s="95">
        <f t="shared" si="5"/>
        <v>56.186000000000007</v>
      </c>
      <c r="X9" s="94">
        <f t="shared" si="6"/>
        <v>10.2256</v>
      </c>
      <c r="Y9" s="91">
        <f t="shared" si="7"/>
        <v>628.27160000000003</v>
      </c>
      <c r="Z9" s="96"/>
      <c r="AA9" s="23"/>
      <c r="AB9" s="23"/>
      <c r="AC9" s="149">
        <f t="shared" si="8"/>
        <v>-427.4</v>
      </c>
      <c r="AD9" s="96" t="s">
        <v>256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  <row r="10" spans="1:45" x14ac:dyDescent="0.25">
      <c r="A10" s="83" t="s">
        <v>181</v>
      </c>
      <c r="B10" s="101" t="s">
        <v>214</v>
      </c>
      <c r="C10" s="84"/>
      <c r="D10" s="83" t="s">
        <v>48</v>
      </c>
      <c r="E10" s="85"/>
      <c r="F10" s="85"/>
      <c r="G10" s="86">
        <v>511.28</v>
      </c>
      <c r="H10" s="86">
        <v>188.72000000000003</v>
      </c>
      <c r="I10" s="86">
        <f t="shared" si="0"/>
        <v>700</v>
      </c>
      <c r="J10" s="88"/>
      <c r="K10" s="89"/>
      <c r="L10" s="89"/>
      <c r="M10" s="90"/>
      <c r="N10" s="91">
        <f t="shared" si="1"/>
        <v>700</v>
      </c>
      <c r="O10" s="92"/>
      <c r="P10" s="93"/>
      <c r="Q10" s="93"/>
      <c r="R10" s="88"/>
      <c r="S10" s="86"/>
      <c r="T10" s="91">
        <f t="shared" si="2"/>
        <v>700</v>
      </c>
      <c r="U10" s="94">
        <f t="shared" si="3"/>
        <v>0</v>
      </c>
      <c r="V10" s="91">
        <f t="shared" si="4"/>
        <v>700</v>
      </c>
      <c r="W10" s="95">
        <f t="shared" si="5"/>
        <v>70</v>
      </c>
      <c r="X10" s="94">
        <f t="shared" si="6"/>
        <v>10.2256</v>
      </c>
      <c r="Y10" s="91">
        <f t="shared" si="7"/>
        <v>780.22559999999999</v>
      </c>
      <c r="Z10" s="96"/>
      <c r="AA10" s="23"/>
      <c r="AB10" s="23"/>
      <c r="AC10" s="149">
        <f t="shared" si="8"/>
        <v>-700</v>
      </c>
      <c r="AD10" s="152">
        <v>2858200513</v>
      </c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x14ac:dyDescent="0.25">
      <c r="A11" s="83" t="s">
        <v>177</v>
      </c>
      <c r="B11" s="83" t="s">
        <v>35</v>
      </c>
      <c r="C11" s="84" t="s">
        <v>36</v>
      </c>
      <c r="D11" s="83" t="s">
        <v>46</v>
      </c>
      <c r="E11" s="85"/>
      <c r="F11" s="85"/>
      <c r="G11" s="86">
        <v>511.28</v>
      </c>
      <c r="H11" s="87">
        <v>1238.72</v>
      </c>
      <c r="I11" s="86">
        <f t="shared" si="0"/>
        <v>1750</v>
      </c>
      <c r="J11" s="88"/>
      <c r="K11" s="89"/>
      <c r="L11" s="89"/>
      <c r="M11" s="90"/>
      <c r="N11" s="91">
        <f t="shared" si="1"/>
        <v>1750</v>
      </c>
      <c r="O11" s="92"/>
      <c r="P11" s="93"/>
      <c r="Q11" s="93"/>
      <c r="R11" s="88"/>
      <c r="S11" s="86">
        <v>0</v>
      </c>
      <c r="T11" s="91">
        <f t="shared" si="2"/>
        <v>1750</v>
      </c>
      <c r="U11" s="94">
        <f t="shared" si="3"/>
        <v>0</v>
      </c>
      <c r="V11" s="91">
        <f t="shared" si="4"/>
        <v>1750</v>
      </c>
      <c r="W11" s="95">
        <f t="shared" si="5"/>
        <v>175</v>
      </c>
      <c r="X11" s="94">
        <f t="shared" si="6"/>
        <v>10.2256</v>
      </c>
      <c r="Y11" s="91">
        <f t="shared" si="7"/>
        <v>1935.2256</v>
      </c>
      <c r="Z11" s="96"/>
      <c r="AA11" s="23"/>
      <c r="AB11" s="23"/>
      <c r="AC11" s="149">
        <f t="shared" si="8"/>
        <v>-1750</v>
      </c>
      <c r="AD11" s="96" t="s">
        <v>257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pans="1:45" x14ac:dyDescent="0.25">
      <c r="A12" s="83" t="s">
        <v>181</v>
      </c>
      <c r="B12" s="83" t="s">
        <v>182</v>
      </c>
      <c r="C12" s="84" t="s">
        <v>49</v>
      </c>
      <c r="D12" s="83" t="s">
        <v>48</v>
      </c>
      <c r="E12" s="83"/>
      <c r="F12" s="83"/>
      <c r="G12" s="86">
        <v>511.28</v>
      </c>
      <c r="H12" s="86">
        <v>0</v>
      </c>
      <c r="I12" s="86">
        <f t="shared" si="0"/>
        <v>511.28</v>
      </c>
      <c r="J12" s="88"/>
      <c r="K12" s="88"/>
      <c r="L12" s="88"/>
      <c r="M12" s="90"/>
      <c r="N12" s="91">
        <f t="shared" si="1"/>
        <v>511.28</v>
      </c>
      <c r="O12" s="92"/>
      <c r="P12" s="93"/>
      <c r="Q12" s="93"/>
      <c r="R12" s="88"/>
      <c r="S12" s="86">
        <f>+N12*0.25</f>
        <v>127.82</v>
      </c>
      <c r="T12" s="91">
        <f t="shared" si="2"/>
        <v>383.46</v>
      </c>
      <c r="U12" s="94">
        <f t="shared" si="3"/>
        <v>0</v>
      </c>
      <c r="V12" s="91">
        <f t="shared" si="4"/>
        <v>383.46</v>
      </c>
      <c r="W12" s="95">
        <f t="shared" si="5"/>
        <v>51.128</v>
      </c>
      <c r="X12" s="94">
        <f t="shared" si="6"/>
        <v>10.2256</v>
      </c>
      <c r="Y12" s="91">
        <f t="shared" si="7"/>
        <v>572.6336</v>
      </c>
      <c r="Z12" s="96" t="s">
        <v>258</v>
      </c>
      <c r="AA12" s="23"/>
      <c r="AB12" s="23"/>
      <c r="AC12" s="149">
        <f t="shared" si="8"/>
        <v>-383.46</v>
      </c>
      <c r="AD12" s="96" t="s">
        <v>259</v>
      </c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x14ac:dyDescent="0.25">
      <c r="A13" s="83" t="s">
        <v>186</v>
      </c>
      <c r="B13" s="83" t="s">
        <v>193</v>
      </c>
      <c r="C13" s="84" t="s">
        <v>50</v>
      </c>
      <c r="D13" s="83" t="s">
        <v>48</v>
      </c>
      <c r="E13" s="83"/>
      <c r="F13" s="83"/>
      <c r="G13" s="86">
        <v>511.28</v>
      </c>
      <c r="H13" s="86">
        <v>188.72000000000003</v>
      </c>
      <c r="I13" s="86">
        <f t="shared" si="0"/>
        <v>700</v>
      </c>
      <c r="J13" s="150">
        <v>7078.84</v>
      </c>
      <c r="K13" s="88"/>
      <c r="L13" s="88"/>
      <c r="M13" s="90"/>
      <c r="N13" s="91">
        <f t="shared" si="1"/>
        <v>7778.84</v>
      </c>
      <c r="O13" s="92"/>
      <c r="P13" s="93"/>
      <c r="Q13" s="93"/>
      <c r="R13" s="88"/>
      <c r="S13" s="86">
        <v>323.13</v>
      </c>
      <c r="T13" s="91">
        <f t="shared" si="2"/>
        <v>7455.71</v>
      </c>
      <c r="U13" s="94">
        <f t="shared" si="3"/>
        <v>777.88400000000001</v>
      </c>
      <c r="V13" s="91">
        <f t="shared" si="4"/>
        <v>6677.826</v>
      </c>
      <c r="W13" s="95">
        <f t="shared" si="5"/>
        <v>0</v>
      </c>
      <c r="X13" s="94">
        <f t="shared" si="6"/>
        <v>10.2256</v>
      </c>
      <c r="Y13" s="91">
        <f t="shared" si="7"/>
        <v>7789.0655999999999</v>
      </c>
      <c r="Z13" s="96"/>
      <c r="AA13" s="153"/>
      <c r="AB13" s="153"/>
      <c r="AC13" s="149">
        <f t="shared" si="8"/>
        <v>-6677.826</v>
      </c>
      <c r="AD13" s="96" t="s">
        <v>260</v>
      </c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pans="1:45" x14ac:dyDescent="0.25">
      <c r="A14" s="83" t="s">
        <v>181</v>
      </c>
      <c r="B14" s="23" t="s">
        <v>261</v>
      </c>
      <c r="C14" s="127"/>
      <c r="D14" s="101" t="s">
        <v>48</v>
      </c>
      <c r="E14" s="101"/>
      <c r="F14" s="101"/>
      <c r="G14" s="128">
        <v>511.28</v>
      </c>
      <c r="H14" s="128"/>
      <c r="I14" s="128">
        <f t="shared" si="0"/>
        <v>511.28</v>
      </c>
      <c r="J14" s="150">
        <f>624.44+511.28</f>
        <v>1135.72</v>
      </c>
      <c r="K14" s="88"/>
      <c r="L14" s="88"/>
      <c r="M14" s="90"/>
      <c r="N14" s="91">
        <f t="shared" si="1"/>
        <v>1647</v>
      </c>
      <c r="O14" s="92"/>
      <c r="P14" s="93"/>
      <c r="Q14" s="93"/>
      <c r="R14" s="88"/>
      <c r="S14" s="86"/>
      <c r="T14" s="91">
        <f t="shared" si="2"/>
        <v>1647</v>
      </c>
      <c r="U14" s="94">
        <f t="shared" si="3"/>
        <v>0</v>
      </c>
      <c r="V14" s="91">
        <f t="shared" si="4"/>
        <v>1647</v>
      </c>
      <c r="W14" s="95">
        <f t="shared" si="5"/>
        <v>164.70000000000002</v>
      </c>
      <c r="X14" s="94">
        <f t="shared" si="6"/>
        <v>10.2256</v>
      </c>
      <c r="Y14" s="91">
        <f t="shared" si="7"/>
        <v>1821.9256</v>
      </c>
      <c r="Z14" s="96"/>
      <c r="AA14" s="153"/>
      <c r="AB14" s="153"/>
      <c r="AC14" s="149">
        <f t="shared" si="8"/>
        <v>-1647</v>
      </c>
      <c r="AD14" s="152">
        <v>1449517286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5" x14ac:dyDescent="0.25">
      <c r="A15" s="83" t="s">
        <v>186</v>
      </c>
      <c r="B15" s="101" t="s">
        <v>187</v>
      </c>
      <c r="C15" s="127">
        <v>5</v>
      </c>
      <c r="D15" s="101" t="s">
        <v>188</v>
      </c>
      <c r="E15" s="101"/>
      <c r="F15" s="101"/>
      <c r="G15" s="128">
        <v>511.28</v>
      </c>
      <c r="H15" s="87">
        <v>1122.05</v>
      </c>
      <c r="I15" s="128">
        <f t="shared" si="0"/>
        <v>1633.33</v>
      </c>
      <c r="J15" s="150">
        <v>40802.559999999998</v>
      </c>
      <c r="K15" s="100"/>
      <c r="L15" s="89"/>
      <c r="M15" s="90"/>
      <c r="N15" s="91">
        <f t="shared" si="1"/>
        <v>42435.89</v>
      </c>
      <c r="O15" s="92"/>
      <c r="P15" s="93"/>
      <c r="Q15" s="93"/>
      <c r="R15" s="88"/>
      <c r="S15" s="86">
        <v>0</v>
      </c>
      <c r="T15" s="91">
        <f t="shared" si="2"/>
        <v>42435.89</v>
      </c>
      <c r="U15" s="94">
        <f t="shared" si="3"/>
        <v>4243.5889999999999</v>
      </c>
      <c r="V15" s="91">
        <f t="shared" si="4"/>
        <v>38192.300999999999</v>
      </c>
      <c r="W15" s="95">
        <f t="shared" si="5"/>
        <v>0</v>
      </c>
      <c r="X15" s="94">
        <f t="shared" si="6"/>
        <v>10.2256</v>
      </c>
      <c r="Y15" s="91">
        <f t="shared" si="7"/>
        <v>42446.115599999997</v>
      </c>
      <c r="Z15" s="96"/>
      <c r="AA15" s="23"/>
      <c r="AB15" s="23"/>
      <c r="AC15" s="149">
        <f t="shared" si="8"/>
        <v>-38192.300999999999</v>
      </c>
      <c r="AD15" s="96" t="s">
        <v>262</v>
      </c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pans="1:45" x14ac:dyDescent="0.25">
      <c r="A16" s="83" t="s">
        <v>186</v>
      </c>
      <c r="B16" s="83" t="s">
        <v>194</v>
      </c>
      <c r="C16" s="84" t="s">
        <v>51</v>
      </c>
      <c r="D16" s="83" t="s">
        <v>48</v>
      </c>
      <c r="E16" s="83"/>
      <c r="F16" s="83"/>
      <c r="G16" s="86">
        <v>511.28</v>
      </c>
      <c r="H16" s="86">
        <v>0</v>
      </c>
      <c r="I16" s="86">
        <f t="shared" si="0"/>
        <v>511.28</v>
      </c>
      <c r="J16" s="88"/>
      <c r="K16" s="88"/>
      <c r="L16" s="88"/>
      <c r="M16" s="90"/>
      <c r="N16" s="91">
        <f t="shared" si="1"/>
        <v>511.28</v>
      </c>
      <c r="O16" s="92"/>
      <c r="P16" s="93"/>
      <c r="Q16" s="93"/>
      <c r="R16" s="88"/>
      <c r="S16" s="86">
        <v>0</v>
      </c>
      <c r="T16" s="91">
        <f t="shared" si="2"/>
        <v>511.28</v>
      </c>
      <c r="U16" s="94">
        <f t="shared" si="3"/>
        <v>0</v>
      </c>
      <c r="V16" s="91">
        <f t="shared" si="4"/>
        <v>511.28</v>
      </c>
      <c r="W16" s="95">
        <f t="shared" si="5"/>
        <v>51.128</v>
      </c>
      <c r="X16" s="94">
        <f t="shared" si="6"/>
        <v>10.2256</v>
      </c>
      <c r="Y16" s="91">
        <f t="shared" si="7"/>
        <v>572.6336</v>
      </c>
      <c r="Z16" s="96"/>
      <c r="AA16" s="23"/>
      <c r="AB16" s="23"/>
      <c r="AC16" s="149">
        <f t="shared" si="8"/>
        <v>-511.28</v>
      </c>
      <c r="AD16" s="96" t="s">
        <v>263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pans="1:45" x14ac:dyDescent="0.25">
      <c r="A17" s="83" t="s">
        <v>178</v>
      </c>
      <c r="B17" s="83" t="s">
        <v>180</v>
      </c>
      <c r="C17" s="84" t="s">
        <v>38</v>
      </c>
      <c r="D17" s="83" t="s">
        <v>47</v>
      </c>
      <c r="E17" s="83"/>
      <c r="F17" s="83"/>
      <c r="G17" s="86">
        <v>511.28</v>
      </c>
      <c r="H17" s="86">
        <v>655.38000000000011</v>
      </c>
      <c r="I17" s="86">
        <f t="shared" si="0"/>
        <v>1166.6600000000001</v>
      </c>
      <c r="J17" s="148">
        <v>2254.73</v>
      </c>
      <c r="K17" s="88"/>
      <c r="L17" s="88"/>
      <c r="M17" s="90"/>
      <c r="N17" s="91">
        <f t="shared" si="1"/>
        <v>3421.3900000000003</v>
      </c>
      <c r="O17" s="92"/>
      <c r="P17" s="93"/>
      <c r="Q17" s="93"/>
      <c r="R17" s="88"/>
      <c r="S17" s="86">
        <v>498.65</v>
      </c>
      <c r="T17" s="91">
        <f t="shared" si="2"/>
        <v>2922.7400000000002</v>
      </c>
      <c r="U17" s="94">
        <f t="shared" si="3"/>
        <v>0</v>
      </c>
      <c r="V17" s="91">
        <f t="shared" si="4"/>
        <v>2922.7400000000002</v>
      </c>
      <c r="W17" s="95">
        <f t="shared" si="5"/>
        <v>342.13900000000007</v>
      </c>
      <c r="X17" s="94">
        <f t="shared" si="6"/>
        <v>10.2256</v>
      </c>
      <c r="Y17" s="91">
        <f t="shared" si="7"/>
        <v>3773.7546000000007</v>
      </c>
      <c r="Z17" s="96"/>
      <c r="AA17" s="23"/>
      <c r="AB17" s="23"/>
      <c r="AC17" s="149">
        <f t="shared" si="8"/>
        <v>-2922.7400000000002</v>
      </c>
      <c r="AD17" s="96" t="s">
        <v>264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pans="1:45" s="96" customFormat="1" x14ac:dyDescent="0.25">
      <c r="A18" s="101" t="s">
        <v>186</v>
      </c>
      <c r="B18" s="101" t="s">
        <v>203</v>
      </c>
      <c r="C18" s="127"/>
      <c r="D18" s="101" t="s">
        <v>48</v>
      </c>
      <c r="E18" s="101"/>
      <c r="F18" s="101"/>
      <c r="G18" s="128">
        <v>700</v>
      </c>
      <c r="H18" s="128">
        <v>0</v>
      </c>
      <c r="I18" s="128">
        <f t="shared" si="0"/>
        <v>700</v>
      </c>
      <c r="J18" s="129"/>
      <c r="K18" s="129"/>
      <c r="L18" s="129"/>
      <c r="M18" s="130"/>
      <c r="N18" s="91">
        <f t="shared" si="1"/>
        <v>700</v>
      </c>
      <c r="O18" s="92"/>
      <c r="P18" s="93"/>
      <c r="Q18" s="93"/>
      <c r="R18" s="88"/>
      <c r="S18" s="86"/>
      <c r="T18" s="91">
        <f t="shared" si="2"/>
        <v>700</v>
      </c>
      <c r="U18" s="94">
        <f t="shared" si="3"/>
        <v>0</v>
      </c>
      <c r="V18" s="91">
        <f t="shared" si="4"/>
        <v>700</v>
      </c>
      <c r="W18" s="95">
        <f t="shared" si="5"/>
        <v>70</v>
      </c>
      <c r="X18" s="94">
        <f t="shared" si="6"/>
        <v>14</v>
      </c>
      <c r="Y18" s="91">
        <f t="shared" si="7"/>
        <v>784</v>
      </c>
      <c r="AA18" s="23"/>
      <c r="AB18" s="23"/>
      <c r="AC18" s="149">
        <f t="shared" si="8"/>
        <v>-700</v>
      </c>
      <c r="AD18" s="152">
        <v>2778164622</v>
      </c>
      <c r="AE18" s="96" t="s">
        <v>265</v>
      </c>
    </row>
    <row r="19" spans="1:45" x14ac:dyDescent="0.25">
      <c r="A19" s="83" t="s">
        <v>186</v>
      </c>
      <c r="B19" s="83" t="s">
        <v>189</v>
      </c>
      <c r="C19" s="84">
        <v>10</v>
      </c>
      <c r="D19" s="83" t="s">
        <v>188</v>
      </c>
      <c r="E19" s="83"/>
      <c r="F19" s="85"/>
      <c r="G19" s="86">
        <v>511.28</v>
      </c>
      <c r="H19" s="87">
        <v>1122.05</v>
      </c>
      <c r="I19" s="86">
        <f t="shared" si="0"/>
        <v>1633.33</v>
      </c>
      <c r="J19" s="148">
        <v>74729.33</v>
      </c>
      <c r="K19" s="89"/>
      <c r="L19" s="89"/>
      <c r="M19" s="90"/>
      <c r="N19" s="91">
        <f t="shared" si="1"/>
        <v>76362.66</v>
      </c>
      <c r="O19" s="92"/>
      <c r="P19" s="93"/>
      <c r="Q19" s="93"/>
      <c r="R19" s="88">
        <v>524.16999999999996</v>
      </c>
      <c r="S19" s="86">
        <v>144.03</v>
      </c>
      <c r="T19" s="91">
        <f t="shared" si="2"/>
        <v>75694.460000000006</v>
      </c>
      <c r="U19" s="94">
        <f t="shared" si="3"/>
        <v>7636.2660000000005</v>
      </c>
      <c r="V19" s="91">
        <f t="shared" si="4"/>
        <v>68058.194000000003</v>
      </c>
      <c r="W19" s="95">
        <f t="shared" si="5"/>
        <v>0</v>
      </c>
      <c r="X19" s="94">
        <f t="shared" si="6"/>
        <v>10.2256</v>
      </c>
      <c r="Y19" s="91">
        <f t="shared" si="7"/>
        <v>76372.885600000009</v>
      </c>
      <c r="Z19" s="96"/>
      <c r="AA19" s="23"/>
      <c r="AB19" s="23"/>
      <c r="AC19" s="149">
        <f t="shared" si="8"/>
        <v>-68058.194000000003</v>
      </c>
      <c r="AD19" s="96" t="s">
        <v>266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pans="1:45" x14ac:dyDescent="0.25">
      <c r="A20" s="83" t="s">
        <v>186</v>
      </c>
      <c r="B20" s="83" t="s">
        <v>196</v>
      </c>
      <c r="C20" s="84" t="s">
        <v>55</v>
      </c>
      <c r="D20" s="83" t="s">
        <v>48</v>
      </c>
      <c r="E20" s="85"/>
      <c r="F20" s="85"/>
      <c r="G20" s="86">
        <v>577.35</v>
      </c>
      <c r="H20" s="87"/>
      <c r="I20" s="86">
        <f t="shared" si="0"/>
        <v>577.35</v>
      </c>
      <c r="J20" s="150">
        <v>12414.92</v>
      </c>
      <c r="K20" s="89"/>
      <c r="L20" s="89"/>
      <c r="M20" s="90"/>
      <c r="N20" s="91">
        <f t="shared" si="1"/>
        <v>12992.27</v>
      </c>
      <c r="O20" s="92"/>
      <c r="P20" s="93"/>
      <c r="Q20" s="93"/>
      <c r="R20" s="88"/>
      <c r="S20" s="86">
        <v>0</v>
      </c>
      <c r="T20" s="91">
        <f t="shared" si="2"/>
        <v>12992.27</v>
      </c>
      <c r="U20" s="94">
        <f t="shared" si="3"/>
        <v>1299.2270000000001</v>
      </c>
      <c r="V20" s="91">
        <f t="shared" si="4"/>
        <v>11693.043</v>
      </c>
      <c r="W20" s="95">
        <f t="shared" si="5"/>
        <v>0</v>
      </c>
      <c r="X20" s="94">
        <f t="shared" si="6"/>
        <v>11.547000000000001</v>
      </c>
      <c r="Y20" s="91">
        <f t="shared" si="7"/>
        <v>13003.817000000001</v>
      </c>
      <c r="Z20" s="96"/>
      <c r="AA20" s="23"/>
      <c r="AB20" s="23"/>
      <c r="AC20" s="149">
        <f t="shared" si="8"/>
        <v>-11693.043</v>
      </c>
      <c r="AD20" s="96" t="s">
        <v>267</v>
      </c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</row>
    <row r="21" spans="1:45" x14ac:dyDescent="0.25">
      <c r="A21" s="83" t="s">
        <v>186</v>
      </c>
      <c r="B21" s="83" t="s">
        <v>195</v>
      </c>
      <c r="C21" s="84" t="s">
        <v>53</v>
      </c>
      <c r="D21" s="83" t="s">
        <v>48</v>
      </c>
      <c r="E21" s="85"/>
      <c r="F21" s="85"/>
      <c r="G21" s="86">
        <v>511.28</v>
      </c>
      <c r="H21" s="87">
        <v>0</v>
      </c>
      <c r="I21" s="86">
        <f t="shared" si="0"/>
        <v>511.28</v>
      </c>
      <c r="J21" s="151">
        <v>10059.98</v>
      </c>
      <c r="K21" s="89"/>
      <c r="L21" s="89"/>
      <c r="M21" s="90"/>
      <c r="N21" s="91">
        <f t="shared" si="1"/>
        <v>10571.26</v>
      </c>
      <c r="O21" s="92"/>
      <c r="P21" s="93"/>
      <c r="Q21" s="93"/>
      <c r="R21" s="88"/>
      <c r="S21" s="86">
        <v>0</v>
      </c>
      <c r="T21" s="91">
        <f t="shared" si="2"/>
        <v>10571.26</v>
      </c>
      <c r="U21" s="94">
        <f t="shared" si="3"/>
        <v>1057.126</v>
      </c>
      <c r="V21" s="91">
        <f t="shared" si="4"/>
        <v>9514.134</v>
      </c>
      <c r="W21" s="95">
        <f t="shared" si="5"/>
        <v>0</v>
      </c>
      <c r="X21" s="94">
        <f t="shared" si="6"/>
        <v>10.2256</v>
      </c>
      <c r="Y21" s="91">
        <f t="shared" si="7"/>
        <v>10581.4856</v>
      </c>
      <c r="Z21" s="96"/>
      <c r="AA21" s="23"/>
      <c r="AB21" s="23"/>
      <c r="AC21" s="149">
        <f t="shared" si="8"/>
        <v>-9514.134</v>
      </c>
      <c r="AD21" s="96" t="s">
        <v>268</v>
      </c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pans="1:45" x14ac:dyDescent="0.25">
      <c r="A22" s="83" t="s">
        <v>186</v>
      </c>
      <c r="B22" s="83" t="s">
        <v>269</v>
      </c>
      <c r="C22" s="84" t="s">
        <v>54</v>
      </c>
      <c r="D22" s="83" t="s">
        <v>48</v>
      </c>
      <c r="E22" s="83"/>
      <c r="F22" s="83"/>
      <c r="G22" s="86">
        <v>511.28</v>
      </c>
      <c r="H22" s="86">
        <v>0</v>
      </c>
      <c r="I22" s="86">
        <f t="shared" si="0"/>
        <v>511.28</v>
      </c>
      <c r="J22" s="88"/>
      <c r="K22" s="88"/>
      <c r="L22" s="88"/>
      <c r="M22" s="90"/>
      <c r="N22" s="91">
        <f t="shared" si="1"/>
        <v>511.28</v>
      </c>
      <c r="O22" s="92"/>
      <c r="P22" s="93"/>
      <c r="Q22" s="93"/>
      <c r="R22" s="88"/>
      <c r="S22" s="86">
        <v>0</v>
      </c>
      <c r="T22" s="91">
        <f t="shared" si="2"/>
        <v>511.28</v>
      </c>
      <c r="U22" s="94">
        <f t="shared" si="3"/>
        <v>0</v>
      </c>
      <c r="V22" s="91">
        <f t="shared" si="4"/>
        <v>511.28</v>
      </c>
      <c r="W22" s="95">
        <f t="shared" si="5"/>
        <v>51.128</v>
      </c>
      <c r="X22" s="94">
        <f t="shared" si="6"/>
        <v>10.2256</v>
      </c>
      <c r="Y22" s="91">
        <f t="shared" si="7"/>
        <v>572.6336</v>
      </c>
      <c r="Z22" s="96"/>
      <c r="AA22" s="23"/>
      <c r="AB22" s="23"/>
      <c r="AC22" s="149">
        <f t="shared" si="8"/>
        <v>-511.28</v>
      </c>
      <c r="AD22" s="96" t="s">
        <v>270</v>
      </c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</row>
    <row r="23" spans="1:45" x14ac:dyDescent="0.25">
      <c r="A23" s="83" t="s">
        <v>181</v>
      </c>
      <c r="B23" s="83" t="s">
        <v>183</v>
      </c>
      <c r="C23" s="84" t="s">
        <v>52</v>
      </c>
      <c r="D23" s="83" t="s">
        <v>48</v>
      </c>
      <c r="E23" s="83"/>
      <c r="F23" s="83"/>
      <c r="G23" s="86">
        <v>577.35</v>
      </c>
      <c r="H23" s="86">
        <v>0</v>
      </c>
      <c r="I23" s="86">
        <f t="shared" si="0"/>
        <v>577.35</v>
      </c>
      <c r="J23" s="88"/>
      <c r="K23" s="88"/>
      <c r="L23" s="88"/>
      <c r="M23" s="90"/>
      <c r="N23" s="91">
        <f t="shared" si="1"/>
        <v>577.35</v>
      </c>
      <c r="O23" s="92"/>
      <c r="P23" s="93"/>
      <c r="Q23" s="93"/>
      <c r="R23" s="88"/>
      <c r="S23" s="86">
        <v>115.26</v>
      </c>
      <c r="T23" s="91">
        <f t="shared" si="2"/>
        <v>462.09000000000003</v>
      </c>
      <c r="U23" s="94">
        <f t="shared" si="3"/>
        <v>0</v>
      </c>
      <c r="V23" s="91">
        <f t="shared" si="4"/>
        <v>462.09000000000003</v>
      </c>
      <c r="W23" s="95">
        <f t="shared" si="5"/>
        <v>57.735000000000007</v>
      </c>
      <c r="X23" s="94">
        <f t="shared" si="6"/>
        <v>11.547000000000001</v>
      </c>
      <c r="Y23" s="91">
        <f t="shared" si="7"/>
        <v>646.63200000000006</v>
      </c>
      <c r="Z23" s="96"/>
      <c r="AA23" s="23"/>
      <c r="AB23" s="23"/>
      <c r="AC23" s="149">
        <f t="shared" si="8"/>
        <v>-462.09000000000003</v>
      </c>
      <c r="AD23" s="96" t="s">
        <v>271</v>
      </c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pans="1:45" s="97" customFormat="1" x14ac:dyDescent="0.25">
      <c r="A24" s="83" t="s">
        <v>178</v>
      </c>
      <c r="B24" s="83" t="s">
        <v>179</v>
      </c>
      <c r="C24" s="84">
        <v>21</v>
      </c>
      <c r="D24" s="83" t="s">
        <v>47</v>
      </c>
      <c r="E24" s="83"/>
      <c r="F24" s="83"/>
      <c r="G24" s="86">
        <v>511.28</v>
      </c>
      <c r="H24" s="86">
        <v>655.38000000000011</v>
      </c>
      <c r="I24" s="86">
        <f t="shared" si="0"/>
        <v>1166.6600000000001</v>
      </c>
      <c r="J24" s="148">
        <v>1759.78</v>
      </c>
      <c r="K24" s="88"/>
      <c r="L24" s="88"/>
      <c r="M24" s="90"/>
      <c r="N24" s="91">
        <f t="shared" si="1"/>
        <v>2926.44</v>
      </c>
      <c r="O24" s="92"/>
      <c r="P24" s="93"/>
      <c r="Q24" s="93"/>
      <c r="R24" s="88"/>
      <c r="S24" s="86">
        <v>89.36</v>
      </c>
      <c r="T24" s="91">
        <f t="shared" si="2"/>
        <v>2837.08</v>
      </c>
      <c r="U24" s="94">
        <f t="shared" si="3"/>
        <v>0</v>
      </c>
      <c r="V24" s="91">
        <f t="shared" si="4"/>
        <v>2837.08</v>
      </c>
      <c r="W24" s="95">
        <f t="shared" si="5"/>
        <v>292.64400000000001</v>
      </c>
      <c r="X24" s="94">
        <f t="shared" si="6"/>
        <v>10.2256</v>
      </c>
      <c r="Y24" s="91">
        <f t="shared" si="7"/>
        <v>3229.3096</v>
      </c>
      <c r="Z24" s="96"/>
      <c r="AA24" s="23"/>
      <c r="AB24" s="23"/>
      <c r="AC24" s="149">
        <f t="shared" si="8"/>
        <v>-2837.08</v>
      </c>
      <c r="AD24" s="96" t="s">
        <v>272</v>
      </c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</row>
    <row r="25" spans="1:45" x14ac:dyDescent="0.25">
      <c r="A25" s="83" t="s">
        <v>186</v>
      </c>
      <c r="B25" s="83" t="s">
        <v>198</v>
      </c>
      <c r="C25" s="84" t="s">
        <v>57</v>
      </c>
      <c r="D25" s="83" t="s">
        <v>48</v>
      </c>
      <c r="E25" s="83"/>
      <c r="F25" s="83"/>
      <c r="G25" s="86">
        <v>511.28</v>
      </c>
      <c r="H25" s="86">
        <v>0</v>
      </c>
      <c r="I25" s="86">
        <f t="shared" si="0"/>
        <v>511.28</v>
      </c>
      <c r="J25" s="150">
        <f>13789.72+2000</f>
        <v>15789.72</v>
      </c>
      <c r="K25" s="88"/>
      <c r="L25" s="88"/>
      <c r="M25" s="90"/>
      <c r="N25" s="91">
        <f t="shared" si="1"/>
        <v>16301</v>
      </c>
      <c r="O25" s="92"/>
      <c r="P25" s="93"/>
      <c r="Q25" s="93"/>
      <c r="R25" s="88"/>
      <c r="S25" s="86">
        <v>0</v>
      </c>
      <c r="T25" s="91">
        <f t="shared" si="2"/>
        <v>16301</v>
      </c>
      <c r="U25" s="94">
        <f t="shared" si="3"/>
        <v>1630.1000000000001</v>
      </c>
      <c r="V25" s="91">
        <f t="shared" si="4"/>
        <v>14670.9</v>
      </c>
      <c r="W25" s="95">
        <f t="shared" si="5"/>
        <v>0</v>
      </c>
      <c r="X25" s="94">
        <f t="shared" si="6"/>
        <v>10.2256</v>
      </c>
      <c r="Y25" s="91">
        <f t="shared" si="7"/>
        <v>16311.2256</v>
      </c>
      <c r="Z25" s="96"/>
      <c r="AA25" s="23"/>
      <c r="AB25" s="23"/>
      <c r="AC25" s="149">
        <f t="shared" si="8"/>
        <v>-14670.9</v>
      </c>
      <c r="AD25" s="96" t="s">
        <v>273</v>
      </c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pans="1:45" x14ac:dyDescent="0.25">
      <c r="A26" s="83" t="s">
        <v>186</v>
      </c>
      <c r="B26" s="83" t="s">
        <v>197</v>
      </c>
      <c r="C26" s="84" t="s">
        <v>56</v>
      </c>
      <c r="D26" s="83" t="s">
        <v>48</v>
      </c>
      <c r="E26" s="83"/>
      <c r="F26" s="83"/>
      <c r="G26" s="86">
        <v>511.28</v>
      </c>
      <c r="H26" s="86">
        <v>73.039999999999964</v>
      </c>
      <c r="I26" s="86">
        <f t="shared" si="0"/>
        <v>584.31999999999994</v>
      </c>
      <c r="J26" s="150">
        <v>22264.880000000001</v>
      </c>
      <c r="K26" s="88"/>
      <c r="L26" s="88"/>
      <c r="M26" s="90"/>
      <c r="N26" s="91">
        <f t="shared" si="1"/>
        <v>22849.200000000001</v>
      </c>
      <c r="O26" s="92"/>
      <c r="P26" s="93"/>
      <c r="Q26" s="93"/>
      <c r="R26" s="88"/>
      <c r="S26" s="86">
        <v>0</v>
      </c>
      <c r="T26" s="91">
        <f t="shared" si="2"/>
        <v>22849.200000000001</v>
      </c>
      <c r="U26" s="94">
        <f t="shared" si="3"/>
        <v>2284.92</v>
      </c>
      <c r="V26" s="91">
        <f t="shared" si="4"/>
        <v>20564.28</v>
      </c>
      <c r="W26" s="95">
        <f t="shared" si="5"/>
        <v>0</v>
      </c>
      <c r="X26" s="94">
        <f t="shared" si="6"/>
        <v>10.2256</v>
      </c>
      <c r="Y26" s="91">
        <f t="shared" si="7"/>
        <v>22859.425600000002</v>
      </c>
      <c r="Z26" s="96"/>
      <c r="AA26" s="23"/>
      <c r="AB26" s="23"/>
      <c r="AC26" s="149">
        <f t="shared" si="8"/>
        <v>-20564.28</v>
      </c>
      <c r="AD26" s="96" t="s">
        <v>274</v>
      </c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</row>
    <row r="27" spans="1:45" s="160" customFormat="1" x14ac:dyDescent="0.25">
      <c r="A27" s="99" t="s">
        <v>186</v>
      </c>
      <c r="B27" s="99" t="s">
        <v>275</v>
      </c>
      <c r="C27" s="154"/>
      <c r="D27" s="99" t="s">
        <v>48</v>
      </c>
      <c r="E27" s="99"/>
      <c r="F27" s="99"/>
      <c r="G27" s="155">
        <v>511.28</v>
      </c>
      <c r="H27" s="155">
        <v>188.72000000000003</v>
      </c>
      <c r="I27" s="155">
        <f t="shared" si="0"/>
        <v>700</v>
      </c>
      <c r="J27" s="156"/>
      <c r="K27" s="156"/>
      <c r="L27" s="156"/>
      <c r="M27" s="157"/>
      <c r="N27" s="158">
        <f t="shared" si="1"/>
        <v>700</v>
      </c>
      <c r="O27" s="156"/>
      <c r="P27" s="159"/>
      <c r="Q27" s="159"/>
      <c r="R27" s="156"/>
      <c r="S27" s="155"/>
      <c r="T27" s="158">
        <f t="shared" si="2"/>
        <v>700</v>
      </c>
      <c r="U27" s="159">
        <f t="shared" si="3"/>
        <v>0</v>
      </c>
      <c r="V27" s="158">
        <f t="shared" si="4"/>
        <v>700</v>
      </c>
      <c r="W27" s="159">
        <f t="shared" si="5"/>
        <v>70</v>
      </c>
      <c r="X27" s="159">
        <f t="shared" si="6"/>
        <v>10.2256</v>
      </c>
      <c r="Y27" s="158">
        <f t="shared" si="7"/>
        <v>780.22559999999999</v>
      </c>
      <c r="Z27" s="160" t="s">
        <v>276</v>
      </c>
      <c r="AA27" s="153"/>
      <c r="AB27" s="153"/>
      <c r="AC27" s="161">
        <f t="shared" si="8"/>
        <v>-700</v>
      </c>
      <c r="AE27" s="160" t="s">
        <v>277</v>
      </c>
    </row>
    <row r="28" spans="1:45" s="97" customFormat="1" x14ac:dyDescent="0.25">
      <c r="A28" s="83" t="s">
        <v>178</v>
      </c>
      <c r="B28" s="83" t="s">
        <v>113</v>
      </c>
      <c r="C28" s="84" t="s">
        <v>39</v>
      </c>
      <c r="D28" s="83" t="s">
        <v>47</v>
      </c>
      <c r="E28" s="83"/>
      <c r="F28" s="83"/>
      <c r="G28" s="86">
        <v>511.28</v>
      </c>
      <c r="H28" s="86">
        <v>655.3900000000001</v>
      </c>
      <c r="I28" s="86">
        <f t="shared" si="0"/>
        <v>1166.67</v>
      </c>
      <c r="J28" s="148">
        <v>1679.26</v>
      </c>
      <c r="K28" s="88"/>
      <c r="L28" s="88"/>
      <c r="M28" s="90"/>
      <c r="N28" s="91">
        <f t="shared" si="1"/>
        <v>2845.9300000000003</v>
      </c>
      <c r="O28" s="92"/>
      <c r="P28" s="93"/>
      <c r="Q28" s="93"/>
      <c r="R28" s="88"/>
      <c r="S28" s="86">
        <v>0</v>
      </c>
      <c r="T28" s="91">
        <f t="shared" si="2"/>
        <v>2845.9300000000003</v>
      </c>
      <c r="U28" s="94">
        <f t="shared" si="3"/>
        <v>0</v>
      </c>
      <c r="V28" s="91">
        <f t="shared" si="4"/>
        <v>2845.9300000000003</v>
      </c>
      <c r="W28" s="95">
        <f t="shared" si="5"/>
        <v>284.59300000000002</v>
      </c>
      <c r="X28" s="94">
        <f t="shared" si="6"/>
        <v>10.2256</v>
      </c>
      <c r="Y28" s="91">
        <f t="shared" si="7"/>
        <v>3140.7486000000004</v>
      </c>
      <c r="Z28" s="96"/>
      <c r="AA28" s="23"/>
      <c r="AB28" s="23"/>
      <c r="AC28" s="149">
        <f t="shared" si="8"/>
        <v>-2845.9300000000003</v>
      </c>
      <c r="AD28" s="96" t="s">
        <v>278</v>
      </c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</row>
    <row r="29" spans="1:45" s="97" customFormat="1" x14ac:dyDescent="0.25">
      <c r="A29" s="83" t="s">
        <v>186</v>
      </c>
      <c r="B29" s="83" t="s">
        <v>33</v>
      </c>
      <c r="C29" s="84" t="s">
        <v>59</v>
      </c>
      <c r="D29" s="83" t="s">
        <v>48</v>
      </c>
      <c r="E29" s="83"/>
      <c r="F29" s="83"/>
      <c r="G29" s="86">
        <v>511.28</v>
      </c>
      <c r="H29" s="86">
        <v>188.72000000000003</v>
      </c>
      <c r="I29" s="86">
        <f t="shared" si="0"/>
        <v>700</v>
      </c>
      <c r="J29" s="151">
        <v>15193.39</v>
      </c>
      <c r="K29" s="88"/>
      <c r="L29" s="88"/>
      <c r="M29" s="90"/>
      <c r="N29" s="91">
        <f t="shared" si="1"/>
        <v>15893.39</v>
      </c>
      <c r="O29" s="92"/>
      <c r="P29" s="93"/>
      <c r="Q29" s="93"/>
      <c r="R29" s="88"/>
      <c r="S29" s="86">
        <v>0</v>
      </c>
      <c r="T29" s="91">
        <f t="shared" si="2"/>
        <v>15893.39</v>
      </c>
      <c r="U29" s="94">
        <f t="shared" si="3"/>
        <v>1589.3389999999999</v>
      </c>
      <c r="V29" s="91">
        <f t="shared" si="4"/>
        <v>14304.050999999999</v>
      </c>
      <c r="W29" s="95">
        <f t="shared" si="5"/>
        <v>0</v>
      </c>
      <c r="X29" s="94">
        <f t="shared" si="6"/>
        <v>10.2256</v>
      </c>
      <c r="Y29" s="91">
        <f t="shared" si="7"/>
        <v>15903.615599999999</v>
      </c>
      <c r="Z29" s="96"/>
      <c r="AA29" s="23"/>
      <c r="AB29" s="23"/>
      <c r="AC29" s="149">
        <f t="shared" si="8"/>
        <v>-14304.050999999999</v>
      </c>
      <c r="AD29" s="96" t="s">
        <v>279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</row>
    <row r="30" spans="1:45" s="160" customFormat="1" x14ac:dyDescent="0.25">
      <c r="A30" s="99" t="s">
        <v>186</v>
      </c>
      <c r="B30" s="99" t="s">
        <v>280</v>
      </c>
      <c r="C30" s="154"/>
      <c r="D30" s="99" t="s">
        <v>48</v>
      </c>
      <c r="E30" s="99"/>
      <c r="F30" s="99"/>
      <c r="G30" s="155">
        <v>511.28</v>
      </c>
      <c r="H30" s="155">
        <v>188.72000000000003</v>
      </c>
      <c r="I30" s="155">
        <f t="shared" si="0"/>
        <v>700</v>
      </c>
      <c r="J30" s="156"/>
      <c r="K30" s="156"/>
      <c r="L30" s="156"/>
      <c r="M30" s="157"/>
      <c r="N30" s="158">
        <f t="shared" si="1"/>
        <v>700</v>
      </c>
      <c r="O30" s="156"/>
      <c r="P30" s="159"/>
      <c r="Q30" s="159"/>
      <c r="R30" s="156"/>
      <c r="S30" s="155"/>
      <c r="T30" s="158">
        <f t="shared" si="2"/>
        <v>700</v>
      </c>
      <c r="U30" s="159">
        <f t="shared" si="3"/>
        <v>0</v>
      </c>
      <c r="V30" s="158">
        <f t="shared" si="4"/>
        <v>700</v>
      </c>
      <c r="W30" s="159">
        <f t="shared" si="5"/>
        <v>70</v>
      </c>
      <c r="X30" s="159">
        <f t="shared" si="6"/>
        <v>10.2256</v>
      </c>
      <c r="Y30" s="158">
        <f t="shared" si="7"/>
        <v>780.22559999999999</v>
      </c>
      <c r="Z30" s="160" t="s">
        <v>276</v>
      </c>
      <c r="AA30" s="153"/>
      <c r="AB30" s="153"/>
      <c r="AC30" s="161">
        <f t="shared" si="8"/>
        <v>-700</v>
      </c>
      <c r="AD30" s="162">
        <v>27213723165</v>
      </c>
    </row>
    <row r="31" spans="1:45" x14ac:dyDescent="0.25">
      <c r="A31" s="83" t="s">
        <v>186</v>
      </c>
      <c r="B31" s="83" t="s">
        <v>199</v>
      </c>
      <c r="C31" s="84" t="s">
        <v>60</v>
      </c>
      <c r="D31" s="83" t="s">
        <v>48</v>
      </c>
      <c r="E31" s="83"/>
      <c r="F31" s="83"/>
      <c r="G31" s="86">
        <v>511.28</v>
      </c>
      <c r="H31" s="86">
        <v>188.72000000000003</v>
      </c>
      <c r="I31" s="86">
        <f t="shared" si="0"/>
        <v>700</v>
      </c>
      <c r="J31" s="88"/>
      <c r="K31" s="88"/>
      <c r="L31" s="88"/>
      <c r="M31" s="90"/>
      <c r="N31" s="91">
        <f t="shared" si="1"/>
        <v>700</v>
      </c>
      <c r="O31" s="92"/>
      <c r="P31" s="93"/>
      <c r="Q31" s="93"/>
      <c r="R31" s="88"/>
      <c r="S31" s="86">
        <v>0</v>
      </c>
      <c r="T31" s="91">
        <f t="shared" si="2"/>
        <v>700</v>
      </c>
      <c r="U31" s="94">
        <f t="shared" si="3"/>
        <v>0</v>
      </c>
      <c r="V31" s="91">
        <f t="shared" si="4"/>
        <v>700</v>
      </c>
      <c r="W31" s="95">
        <f t="shared" si="5"/>
        <v>70</v>
      </c>
      <c r="X31" s="94">
        <f t="shared" si="6"/>
        <v>10.2256</v>
      </c>
      <c r="Y31" s="91">
        <f t="shared" si="7"/>
        <v>780.22559999999999</v>
      </c>
      <c r="Z31" s="96"/>
      <c r="AA31" s="23"/>
      <c r="AB31" s="23"/>
      <c r="AC31" s="149">
        <f t="shared" si="8"/>
        <v>-700</v>
      </c>
      <c r="AD31" s="96" t="s">
        <v>281</v>
      </c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</row>
    <row r="32" spans="1:45" x14ac:dyDescent="0.25">
      <c r="A32" s="83" t="s">
        <v>186</v>
      </c>
      <c r="B32" s="83" t="s">
        <v>62</v>
      </c>
      <c r="C32" s="84" t="s">
        <v>61</v>
      </c>
      <c r="D32" s="83" t="s">
        <v>48</v>
      </c>
      <c r="E32" s="85"/>
      <c r="F32" s="85"/>
      <c r="G32" s="86">
        <v>511.28</v>
      </c>
      <c r="H32" s="87">
        <v>0</v>
      </c>
      <c r="I32" s="86">
        <f t="shared" si="0"/>
        <v>511.28</v>
      </c>
      <c r="J32" s="163">
        <v>1710.63</v>
      </c>
      <c r="K32" s="89"/>
      <c r="L32" s="89"/>
      <c r="M32" s="90"/>
      <c r="N32" s="91">
        <f t="shared" si="1"/>
        <v>2221.91</v>
      </c>
      <c r="O32" s="92"/>
      <c r="P32" s="93"/>
      <c r="Q32" s="93"/>
      <c r="R32" s="88"/>
      <c r="S32" s="86">
        <v>0</v>
      </c>
      <c r="T32" s="91">
        <f t="shared" si="2"/>
        <v>2221.91</v>
      </c>
      <c r="U32" s="94">
        <f t="shared" si="3"/>
        <v>0</v>
      </c>
      <c r="V32" s="91">
        <f t="shared" si="4"/>
        <v>2221.91</v>
      </c>
      <c r="W32" s="95">
        <f t="shared" si="5"/>
        <v>222.191</v>
      </c>
      <c r="X32" s="94">
        <f t="shared" si="6"/>
        <v>10.2256</v>
      </c>
      <c r="Y32" s="91">
        <f t="shared" si="7"/>
        <v>2454.3265999999999</v>
      </c>
      <c r="Z32" s="96"/>
      <c r="AA32" s="23"/>
      <c r="AB32" s="23"/>
      <c r="AC32" s="149">
        <f t="shared" si="8"/>
        <v>-2221.91</v>
      </c>
      <c r="AD32" s="96" t="s">
        <v>282</v>
      </c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</row>
    <row r="33" spans="1:45" x14ac:dyDescent="0.25">
      <c r="A33" s="83" t="s">
        <v>181</v>
      </c>
      <c r="B33" s="83" t="s">
        <v>184</v>
      </c>
      <c r="C33" s="84" t="s">
        <v>63</v>
      </c>
      <c r="D33" s="83" t="s">
        <v>48</v>
      </c>
      <c r="E33" s="83"/>
      <c r="F33" s="83"/>
      <c r="G33" s="86">
        <v>511.28</v>
      </c>
      <c r="H33" s="86">
        <v>0</v>
      </c>
      <c r="I33" s="86">
        <f t="shared" si="0"/>
        <v>511.28</v>
      </c>
      <c r="J33" s="150">
        <f>1316.33+2000</f>
        <v>3316.33</v>
      </c>
      <c r="K33" s="88"/>
      <c r="L33" s="88"/>
      <c r="M33" s="90"/>
      <c r="N33" s="91">
        <f t="shared" si="1"/>
        <v>3827.6099999999997</v>
      </c>
      <c r="O33" s="92"/>
      <c r="P33" s="93"/>
      <c r="Q33" s="93"/>
      <c r="R33" s="88"/>
      <c r="S33" s="86">
        <v>0</v>
      </c>
      <c r="T33" s="91">
        <f t="shared" si="2"/>
        <v>3827.6099999999997</v>
      </c>
      <c r="U33" s="94">
        <f t="shared" si="3"/>
        <v>0</v>
      </c>
      <c r="V33" s="91">
        <f t="shared" si="4"/>
        <v>3827.6099999999997</v>
      </c>
      <c r="W33" s="95">
        <f t="shared" si="5"/>
        <v>382.76099999999997</v>
      </c>
      <c r="X33" s="94">
        <f t="shared" si="6"/>
        <v>10.2256</v>
      </c>
      <c r="Y33" s="91">
        <f t="shared" si="7"/>
        <v>4220.5965999999989</v>
      </c>
      <c r="Z33" s="96"/>
      <c r="AA33" s="23"/>
      <c r="AB33" s="23"/>
      <c r="AC33" s="149">
        <f t="shared" si="8"/>
        <v>-3827.6099999999997</v>
      </c>
      <c r="AD33" s="96" t="s">
        <v>283</v>
      </c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</row>
    <row r="34" spans="1:45" x14ac:dyDescent="0.25">
      <c r="A34" s="83" t="s">
        <v>181</v>
      </c>
      <c r="B34" s="83" t="s">
        <v>185</v>
      </c>
      <c r="C34" s="84" t="s">
        <v>40</v>
      </c>
      <c r="D34" s="83" t="s">
        <v>48</v>
      </c>
      <c r="E34" s="83"/>
      <c r="F34" s="83"/>
      <c r="G34" s="86">
        <v>511.28</v>
      </c>
      <c r="H34" s="86">
        <v>0</v>
      </c>
      <c r="I34" s="86">
        <f t="shared" si="0"/>
        <v>511.28</v>
      </c>
      <c r="J34" s="88"/>
      <c r="K34" s="88"/>
      <c r="L34" s="88"/>
      <c r="M34" s="90"/>
      <c r="N34" s="91">
        <f t="shared" si="1"/>
        <v>511.28</v>
      </c>
      <c r="O34" s="92"/>
      <c r="P34" s="93"/>
      <c r="Q34" s="93"/>
      <c r="R34" s="88"/>
      <c r="S34" s="86">
        <v>134.6</v>
      </c>
      <c r="T34" s="91">
        <f t="shared" si="2"/>
        <v>376.67999999999995</v>
      </c>
      <c r="U34" s="94">
        <f t="shared" si="3"/>
        <v>0</v>
      </c>
      <c r="V34" s="91">
        <f t="shared" si="4"/>
        <v>376.67999999999995</v>
      </c>
      <c r="W34" s="95">
        <f t="shared" si="5"/>
        <v>51.128</v>
      </c>
      <c r="X34" s="94">
        <f t="shared" si="6"/>
        <v>10.2256</v>
      </c>
      <c r="Y34" s="91">
        <f t="shared" si="7"/>
        <v>572.6336</v>
      </c>
      <c r="Z34" s="96"/>
      <c r="AA34" s="23"/>
      <c r="AB34" s="23"/>
      <c r="AC34" s="149">
        <f t="shared" si="8"/>
        <v>-376.67999999999995</v>
      </c>
      <c r="AD34" s="96" t="s">
        <v>284</v>
      </c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</row>
    <row r="35" spans="1:45" x14ac:dyDescent="0.25">
      <c r="A35" s="83" t="s">
        <v>186</v>
      </c>
      <c r="B35" s="83" t="s">
        <v>200</v>
      </c>
      <c r="C35" s="84" t="s">
        <v>64</v>
      </c>
      <c r="D35" s="83" t="s">
        <v>48</v>
      </c>
      <c r="E35" s="83"/>
      <c r="F35" s="83"/>
      <c r="G35" s="86">
        <v>0</v>
      </c>
      <c r="H35" s="86">
        <v>8193.94</v>
      </c>
      <c r="I35" s="86">
        <f t="shared" si="0"/>
        <v>8193.94</v>
      </c>
      <c r="J35" s="150"/>
      <c r="K35" s="88"/>
      <c r="L35" s="88"/>
      <c r="M35" s="90"/>
      <c r="N35" s="91">
        <f t="shared" si="1"/>
        <v>8193.94</v>
      </c>
      <c r="O35" s="92"/>
      <c r="P35" s="93"/>
      <c r="Q35" s="93"/>
      <c r="R35" s="88"/>
      <c r="S35" s="86">
        <v>1148.7</v>
      </c>
      <c r="T35" s="91">
        <f t="shared" si="2"/>
        <v>7045.2400000000007</v>
      </c>
      <c r="U35" s="94">
        <f t="shared" si="3"/>
        <v>819.39400000000012</v>
      </c>
      <c r="V35" s="91">
        <f t="shared" si="4"/>
        <v>6225.8460000000005</v>
      </c>
      <c r="W35" s="95">
        <f t="shared" si="5"/>
        <v>0</v>
      </c>
      <c r="X35" s="94">
        <f t="shared" si="6"/>
        <v>0</v>
      </c>
      <c r="Y35" s="91">
        <f t="shared" si="7"/>
        <v>8193.94</v>
      </c>
      <c r="Z35" s="160" t="s">
        <v>285</v>
      </c>
      <c r="AA35" s="153"/>
      <c r="AB35" s="153"/>
      <c r="AC35" s="149">
        <f t="shared" si="8"/>
        <v>-6225.8460000000005</v>
      </c>
      <c r="AD35" s="96" t="s">
        <v>286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</row>
    <row r="36" spans="1:45" x14ac:dyDescent="0.25">
      <c r="A36" s="83" t="s">
        <v>186</v>
      </c>
      <c r="B36" s="101" t="s">
        <v>202</v>
      </c>
      <c r="C36" s="84"/>
      <c r="D36" s="83" t="s">
        <v>48</v>
      </c>
      <c r="E36" s="85"/>
      <c r="F36" s="85"/>
      <c r="G36" s="86">
        <v>511.28</v>
      </c>
      <c r="H36" s="86">
        <v>188.72000000000003</v>
      </c>
      <c r="I36" s="86">
        <f t="shared" si="0"/>
        <v>700</v>
      </c>
      <c r="J36" s="88"/>
      <c r="K36" s="89"/>
      <c r="L36" s="89"/>
      <c r="M36" s="90"/>
      <c r="N36" s="91">
        <f t="shared" si="1"/>
        <v>700</v>
      </c>
      <c r="O36" s="92"/>
      <c r="P36" s="93"/>
      <c r="Q36" s="93"/>
      <c r="R36" s="88"/>
      <c r="S36" s="86"/>
      <c r="T36" s="91">
        <f t="shared" si="2"/>
        <v>700</v>
      </c>
      <c r="U36" s="94">
        <f t="shared" si="3"/>
        <v>0</v>
      </c>
      <c r="V36" s="91">
        <f t="shared" si="4"/>
        <v>700</v>
      </c>
      <c r="W36" s="95">
        <f t="shared" si="5"/>
        <v>70</v>
      </c>
      <c r="X36" s="94">
        <f t="shared" si="6"/>
        <v>10.2256</v>
      </c>
      <c r="Y36" s="91">
        <f t="shared" si="7"/>
        <v>780.22559999999999</v>
      </c>
      <c r="Z36" s="96"/>
      <c r="AA36" s="23"/>
      <c r="AB36" s="23"/>
      <c r="AC36" s="149">
        <f t="shared" si="8"/>
        <v>-700</v>
      </c>
      <c r="AD36" s="152">
        <v>2973111075</v>
      </c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</row>
    <row r="37" spans="1:45" x14ac:dyDescent="0.25">
      <c r="A37" s="83" t="s">
        <v>186</v>
      </c>
      <c r="B37" s="83" t="s">
        <v>201</v>
      </c>
      <c r="C37" s="84" t="s">
        <v>65</v>
      </c>
      <c r="D37" s="83" t="s">
        <v>48</v>
      </c>
      <c r="E37" s="85"/>
      <c r="F37" s="85"/>
      <c r="G37" s="86">
        <f>511.28+66.07</f>
        <v>577.34999999999991</v>
      </c>
      <c r="H37" s="87">
        <v>0</v>
      </c>
      <c r="I37" s="86">
        <f t="shared" si="0"/>
        <v>577.34999999999991</v>
      </c>
      <c r="J37" s="88"/>
      <c r="K37" s="89"/>
      <c r="L37" s="89"/>
      <c r="M37" s="90"/>
      <c r="N37" s="91">
        <f t="shared" si="1"/>
        <v>577.34999999999991</v>
      </c>
      <c r="O37" s="92"/>
      <c r="P37" s="93"/>
      <c r="Q37" s="93"/>
      <c r="R37" s="88"/>
      <c r="S37" s="86">
        <v>0</v>
      </c>
      <c r="T37" s="91">
        <f t="shared" si="2"/>
        <v>577.34999999999991</v>
      </c>
      <c r="U37" s="94">
        <f t="shared" si="3"/>
        <v>0</v>
      </c>
      <c r="V37" s="91">
        <f t="shared" si="4"/>
        <v>577.34999999999991</v>
      </c>
      <c r="W37" s="95">
        <f t="shared" si="5"/>
        <v>57.734999999999992</v>
      </c>
      <c r="X37" s="94">
        <f t="shared" si="6"/>
        <v>11.546999999999999</v>
      </c>
      <c r="Y37" s="91">
        <f t="shared" si="7"/>
        <v>646.63199999999995</v>
      </c>
      <c r="Z37" s="96"/>
      <c r="AA37" s="23"/>
      <c r="AB37" s="23"/>
      <c r="AC37" s="149">
        <f t="shared" si="8"/>
        <v>-577.34999999999991</v>
      </c>
      <c r="AD37" s="96" t="s">
        <v>287</v>
      </c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</row>
    <row r="38" spans="1:45" x14ac:dyDescent="0.25">
      <c r="A38" s="83"/>
      <c r="B38" s="83"/>
      <c r="C38" s="84"/>
      <c r="D38" s="83"/>
      <c r="E38" s="85"/>
      <c r="F38" s="85"/>
      <c r="G38" s="86"/>
      <c r="H38" s="87"/>
      <c r="I38" s="86"/>
      <c r="J38" s="88"/>
      <c r="K38" s="89"/>
      <c r="L38" s="89"/>
      <c r="M38" s="90"/>
      <c r="N38" s="91"/>
      <c r="O38" s="92"/>
      <c r="P38" s="93"/>
      <c r="Q38" s="93"/>
      <c r="R38" s="88"/>
      <c r="S38" s="86"/>
      <c r="T38" s="91"/>
      <c r="U38" s="94"/>
      <c r="V38" s="91"/>
      <c r="W38" s="95"/>
      <c r="X38" s="94"/>
      <c r="Y38" s="91"/>
      <c r="Z38" s="96"/>
      <c r="AA38" s="23"/>
      <c r="AB38" s="23"/>
      <c r="AC38" s="149">
        <f t="shared" ref="AC38:AC45" si="9">+Z38-AA38-AB38</f>
        <v>0</v>
      </c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</row>
    <row r="39" spans="1:45" x14ac:dyDescent="0.25">
      <c r="A39" s="102"/>
      <c r="B39" s="83"/>
      <c r="C39" s="85"/>
      <c r="D39" s="83"/>
      <c r="E39" s="83"/>
      <c r="F39" s="83"/>
      <c r="G39" s="83"/>
      <c r="H39" s="83"/>
      <c r="I39" s="88"/>
      <c r="J39" s="88"/>
      <c r="K39" s="88"/>
      <c r="L39" s="88"/>
      <c r="M39" s="90"/>
      <c r="N39" s="91"/>
      <c r="O39" s="92"/>
      <c r="P39" s="93"/>
      <c r="Q39" s="93"/>
      <c r="R39" s="88"/>
      <c r="S39" s="86"/>
      <c r="T39" s="91"/>
      <c r="U39" s="94"/>
      <c r="V39" s="91"/>
      <c r="W39" s="95"/>
      <c r="X39" s="94"/>
      <c r="Y39" s="91"/>
      <c r="Z39" s="96"/>
      <c r="AA39" s="23"/>
      <c r="AB39" s="23"/>
      <c r="AC39" s="149">
        <f t="shared" si="9"/>
        <v>0</v>
      </c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</row>
    <row r="40" spans="1:45" x14ac:dyDescent="0.25">
      <c r="A40" s="102"/>
      <c r="B40" s="83"/>
      <c r="C40" s="85"/>
      <c r="D40" s="83"/>
      <c r="E40" s="83"/>
      <c r="F40" s="83"/>
      <c r="G40" s="83"/>
      <c r="H40" s="83"/>
      <c r="I40" s="88"/>
      <c r="J40" s="88"/>
      <c r="K40" s="88"/>
      <c r="L40" s="88"/>
      <c r="M40" s="90"/>
      <c r="N40" s="91"/>
      <c r="O40" s="92"/>
      <c r="P40" s="93"/>
      <c r="Q40" s="93"/>
      <c r="R40" s="94"/>
      <c r="S40" s="94"/>
      <c r="T40" s="91"/>
      <c r="U40" s="94"/>
      <c r="V40" s="91"/>
      <c r="W40" s="95"/>
      <c r="X40" s="94"/>
      <c r="Y40" s="91"/>
      <c r="Z40" s="96"/>
      <c r="AA40" s="23"/>
      <c r="AB40" s="23"/>
      <c r="AC40" s="149">
        <f t="shared" si="9"/>
        <v>0</v>
      </c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</row>
    <row r="41" spans="1:45" s="96" customFormat="1" x14ac:dyDescent="0.25">
      <c r="A41" s="102"/>
      <c r="B41" s="103"/>
      <c r="C41" s="103"/>
      <c r="D41" s="103"/>
      <c r="E41" s="103"/>
      <c r="F41" s="103"/>
      <c r="G41" s="103"/>
      <c r="H41" s="103"/>
      <c r="I41" s="104"/>
      <c r="J41" s="104"/>
      <c r="K41" s="104"/>
      <c r="L41" s="104"/>
      <c r="M41" s="104"/>
      <c r="N41" s="105"/>
      <c r="O41" s="104"/>
      <c r="P41" s="94"/>
      <c r="Q41" s="94"/>
      <c r="R41" s="94"/>
      <c r="S41" s="94"/>
      <c r="T41" s="106"/>
      <c r="U41" s="94"/>
      <c r="V41" s="105"/>
      <c r="W41" s="94"/>
      <c r="X41" s="94"/>
      <c r="Y41" s="105"/>
      <c r="AA41" s="23"/>
      <c r="AB41" s="23"/>
      <c r="AC41" s="149">
        <f t="shared" si="9"/>
        <v>0</v>
      </c>
    </row>
    <row r="42" spans="1:45" ht="16.5" thickBot="1" x14ac:dyDescent="0.3">
      <c r="B42" s="107" t="s">
        <v>204</v>
      </c>
      <c r="C42" s="107"/>
      <c r="D42" s="107"/>
      <c r="E42" s="107"/>
      <c r="F42" s="107"/>
      <c r="G42" s="107"/>
      <c r="H42" s="107"/>
      <c r="I42" s="108">
        <f>SUM(I7:I32)</f>
        <v>22090.5</v>
      </c>
      <c r="J42" s="108"/>
      <c r="K42" s="108">
        <f t="shared" ref="K42:T42" si="10">SUM(K7:K32)</f>
        <v>0</v>
      </c>
      <c r="L42" s="108">
        <f t="shared" si="10"/>
        <v>0</v>
      </c>
      <c r="M42" s="108">
        <f t="shared" si="10"/>
        <v>0</v>
      </c>
      <c r="N42" s="108">
        <f t="shared" si="10"/>
        <v>232602.31000000003</v>
      </c>
      <c r="O42" s="108">
        <f t="shared" si="10"/>
        <v>0</v>
      </c>
      <c r="P42" s="108">
        <f t="shared" si="10"/>
        <v>0</v>
      </c>
      <c r="Q42" s="108">
        <f t="shared" si="10"/>
        <v>0</v>
      </c>
      <c r="R42" s="108">
        <f t="shared" si="10"/>
        <v>524.16999999999996</v>
      </c>
      <c r="S42" s="108">
        <f t="shared" si="10"/>
        <v>1432.7099999999998</v>
      </c>
      <c r="T42" s="108">
        <f t="shared" si="10"/>
        <v>230645.42999999996</v>
      </c>
      <c r="U42" s="108">
        <f>SUBTOTAL(9,U5:U41)</f>
        <v>21806.315000000002</v>
      </c>
      <c r="V42" s="108">
        <f>SUM(V7:V32)</f>
        <v>209658.50899999996</v>
      </c>
      <c r="W42" s="108">
        <f>SUM(W7:W32)</f>
        <v>2273.31</v>
      </c>
      <c r="X42" s="108">
        <f>SUM(X7:X32)</f>
        <v>272.2827999999999</v>
      </c>
      <c r="Y42" s="108">
        <f>SUBTOTAL(9,Y5:Y41)</f>
        <v>249561.93060000005</v>
      </c>
      <c r="AA42" s="23"/>
      <c r="AB42" s="23"/>
      <c r="AC42" s="149">
        <f t="shared" si="9"/>
        <v>0</v>
      </c>
      <c r="AD42" s="96"/>
    </row>
    <row r="43" spans="1:45" ht="16.5" thickTop="1" x14ac:dyDescent="0.25">
      <c r="Y43" s="81">
        <f>Y42*0.16</f>
        <v>39929.908896000008</v>
      </c>
      <c r="AA43" s="23"/>
      <c r="AB43" s="23"/>
      <c r="AC43" s="149">
        <f t="shared" si="9"/>
        <v>0</v>
      </c>
      <c r="AD43" s="96"/>
    </row>
    <row r="44" spans="1:45" x14ac:dyDescent="0.25">
      <c r="A44" s="295" t="s">
        <v>205</v>
      </c>
      <c r="B44" s="295"/>
      <c r="U44" s="80">
        <f>+U42-U43</f>
        <v>21806.315000000002</v>
      </c>
      <c r="Y44" s="81">
        <f>+Y42+Y43</f>
        <v>289491.83949600009</v>
      </c>
      <c r="Z44" s="164">
        <v>112981.14</v>
      </c>
      <c r="AA44" s="23"/>
      <c r="AB44" s="23"/>
      <c r="AC44" s="149">
        <f t="shared" si="9"/>
        <v>112981.14</v>
      </c>
    </row>
    <row r="45" spans="1:45" x14ac:dyDescent="0.25">
      <c r="A45" s="102"/>
      <c r="B45" s="83"/>
      <c r="C45" s="85"/>
      <c r="D45" s="83"/>
      <c r="E45" s="83"/>
      <c r="F45" s="83"/>
      <c r="G45" s="83"/>
      <c r="H45" s="83"/>
      <c r="I45" s="88"/>
      <c r="J45" s="88"/>
      <c r="K45" s="88"/>
      <c r="L45" s="88"/>
      <c r="M45" s="88"/>
      <c r="N45" s="91">
        <f>SUM(I45:M45)</f>
        <v>0</v>
      </c>
      <c r="O45" s="92"/>
      <c r="P45" s="93"/>
      <c r="Q45" s="93"/>
      <c r="R45" s="93"/>
      <c r="S45" s="93"/>
      <c r="T45" s="91">
        <f>+N45-O45</f>
        <v>0</v>
      </c>
      <c r="U45" s="94">
        <f>+T45*0.05</f>
        <v>0</v>
      </c>
      <c r="V45" s="91">
        <f>+T45-P45-S45</f>
        <v>0</v>
      </c>
      <c r="W45" s="95">
        <f>IF(T45&lt;3000,T45*0.1,0)</f>
        <v>0</v>
      </c>
      <c r="X45" s="94">
        <v>0</v>
      </c>
      <c r="Y45" s="91">
        <f>+T45+W45+X45</f>
        <v>0</v>
      </c>
      <c r="AA45" s="23"/>
      <c r="AB45" s="23"/>
      <c r="AC45" s="149">
        <f t="shared" si="9"/>
        <v>0</v>
      </c>
    </row>
    <row r="46" spans="1:45" x14ac:dyDescent="0.25">
      <c r="A46" s="102"/>
      <c r="B46" s="85"/>
      <c r="C46" s="85"/>
      <c r="D46" s="85"/>
      <c r="E46" s="85"/>
      <c r="F46" s="85"/>
      <c r="G46" s="85"/>
      <c r="H46" s="85"/>
      <c r="I46" s="89"/>
      <c r="J46" s="89"/>
      <c r="K46" s="89"/>
      <c r="L46" s="89"/>
      <c r="M46" s="89"/>
      <c r="N46" s="91">
        <f>SUM(I46:M46)</f>
        <v>0</v>
      </c>
      <c r="O46" s="92"/>
      <c r="P46" s="93"/>
      <c r="Q46" s="93"/>
      <c r="R46" s="93"/>
      <c r="S46" s="93"/>
      <c r="T46" s="91">
        <f>+N46-O46</f>
        <v>0</v>
      </c>
      <c r="U46" s="94">
        <f>+T46*0.05</f>
        <v>0</v>
      </c>
      <c r="V46" s="91">
        <f>+T46-P46-S46</f>
        <v>0</v>
      </c>
      <c r="W46" s="95">
        <f>IF(T46&lt;3000,T46*0.1,0)</f>
        <v>0</v>
      </c>
      <c r="X46" s="94">
        <v>0</v>
      </c>
      <c r="Y46" s="91">
        <f>+T46+W46+X46</f>
        <v>0</v>
      </c>
      <c r="AA46" s="153"/>
      <c r="AB46" s="153"/>
      <c r="AC46" s="161"/>
    </row>
    <row r="47" spans="1:45" x14ac:dyDescent="0.25">
      <c r="Y47" s="81">
        <f>SUM(Y45:Y46)</f>
        <v>0</v>
      </c>
      <c r="AA47" s="23"/>
      <c r="AB47" s="23"/>
      <c r="AC47" s="149">
        <f>+Z47-AA47-AB47</f>
        <v>0</v>
      </c>
    </row>
    <row r="48" spans="1:45" x14ac:dyDescent="0.25">
      <c r="B48" s="109" t="s">
        <v>206</v>
      </c>
      <c r="C48" s="109"/>
      <c r="Y48" s="81">
        <f>+Y47*0.16</f>
        <v>0</v>
      </c>
      <c r="AA48" s="23"/>
      <c r="AB48" s="23"/>
      <c r="AC48" s="149">
        <f>+Z48-AA48-AB48</f>
        <v>0</v>
      </c>
    </row>
    <row r="49" spans="1:29" x14ac:dyDescent="0.25">
      <c r="B49" s="109"/>
      <c r="C49" s="109"/>
      <c r="Y49" s="81">
        <f>+Y47+Y48</f>
        <v>0</v>
      </c>
      <c r="AA49" s="23"/>
      <c r="AB49" s="23"/>
      <c r="AC49" s="149">
        <f>+Z49-AA49-AB49</f>
        <v>0</v>
      </c>
    </row>
    <row r="50" spans="1:29" x14ac:dyDescent="0.25">
      <c r="B50" s="109"/>
      <c r="C50" s="109"/>
      <c r="AA50" s="153"/>
      <c r="AB50" s="153"/>
      <c r="AC50" s="161"/>
    </row>
    <row r="51" spans="1:29" x14ac:dyDescent="0.25">
      <c r="B51" s="109" t="s">
        <v>207</v>
      </c>
      <c r="C51" s="109"/>
      <c r="Y51" s="81">
        <f>+Y44+Y49</f>
        <v>289491.83949600009</v>
      </c>
      <c r="AA51" s="23"/>
      <c r="AB51" s="23"/>
      <c r="AC51" s="149">
        <f t="shared" ref="AC51:AC68" si="11">+Z51-AA51-AB51</f>
        <v>0</v>
      </c>
    </row>
    <row r="52" spans="1:29" x14ac:dyDescent="0.25">
      <c r="B52" s="96"/>
      <c r="AA52" s="23"/>
      <c r="AB52" s="23"/>
      <c r="AC52" s="149">
        <f t="shared" si="11"/>
        <v>0</v>
      </c>
    </row>
    <row r="53" spans="1:29" x14ac:dyDescent="0.25">
      <c r="B53" s="96"/>
      <c r="AA53" s="23"/>
      <c r="AB53" s="23"/>
      <c r="AC53" s="149">
        <f t="shared" si="11"/>
        <v>0</v>
      </c>
    </row>
    <row r="54" spans="1:29" x14ac:dyDescent="0.25">
      <c r="B54" s="23"/>
      <c r="AA54" s="23"/>
      <c r="AB54" s="23"/>
      <c r="AC54" s="149">
        <f t="shared" si="11"/>
        <v>0</v>
      </c>
    </row>
    <row r="55" spans="1:29" x14ac:dyDescent="0.25">
      <c r="B55" s="23"/>
      <c r="AA55" s="23"/>
      <c r="AB55" s="23"/>
      <c r="AC55" s="149">
        <f t="shared" si="11"/>
        <v>0</v>
      </c>
    </row>
    <row r="56" spans="1:29" x14ac:dyDescent="0.25">
      <c r="AA56" s="23"/>
      <c r="AB56" s="23"/>
      <c r="AC56" s="149">
        <f t="shared" si="11"/>
        <v>0</v>
      </c>
    </row>
    <row r="57" spans="1:29" x14ac:dyDescent="0.25">
      <c r="AA57" s="23"/>
      <c r="AB57" s="23"/>
      <c r="AC57" s="149">
        <f t="shared" si="11"/>
        <v>0</v>
      </c>
    </row>
    <row r="58" spans="1:29" x14ac:dyDescent="0.25">
      <c r="A58" s="98" t="s">
        <v>208</v>
      </c>
      <c r="B58" s="80"/>
      <c r="AA58" s="23"/>
      <c r="AB58" s="23"/>
      <c r="AC58" s="149">
        <f t="shared" si="11"/>
        <v>0</v>
      </c>
    </row>
    <row r="59" spans="1:29" x14ac:dyDescent="0.25">
      <c r="A59" s="98" t="s">
        <v>209</v>
      </c>
      <c r="B59" s="80"/>
      <c r="AA59" s="23"/>
      <c r="AB59" s="23"/>
      <c r="AC59" s="149">
        <f t="shared" si="11"/>
        <v>0</v>
      </c>
    </row>
    <row r="60" spans="1:29" x14ac:dyDescent="0.25">
      <c r="A60" s="98" t="s">
        <v>210</v>
      </c>
      <c r="B60" s="80"/>
      <c r="AA60" s="23"/>
      <c r="AB60" s="23"/>
      <c r="AC60" s="149">
        <f t="shared" si="11"/>
        <v>0</v>
      </c>
    </row>
    <row r="61" spans="1:29" x14ac:dyDescent="0.25">
      <c r="A61" s="98" t="s">
        <v>211</v>
      </c>
      <c r="B61" s="80"/>
      <c r="AA61" s="23"/>
      <c r="AB61" s="23"/>
      <c r="AC61" s="149">
        <f t="shared" si="11"/>
        <v>0</v>
      </c>
    </row>
    <row r="62" spans="1:29" x14ac:dyDescent="0.25">
      <c r="A62" s="98" t="s">
        <v>212</v>
      </c>
      <c r="B62" s="80"/>
      <c r="AA62" s="23"/>
      <c r="AB62" s="23"/>
      <c r="AC62" s="149">
        <f t="shared" si="11"/>
        <v>0</v>
      </c>
    </row>
    <row r="63" spans="1:29" x14ac:dyDescent="0.25">
      <c r="A63" s="98" t="s">
        <v>213</v>
      </c>
      <c r="B63" s="80"/>
      <c r="AA63" s="23"/>
      <c r="AB63" s="23"/>
      <c r="AC63" s="149">
        <f t="shared" si="11"/>
        <v>0</v>
      </c>
    </row>
    <row r="64" spans="1:29" x14ac:dyDescent="0.25">
      <c r="AA64" s="23"/>
      <c r="AB64" s="23"/>
      <c r="AC64" s="149">
        <f t="shared" si="11"/>
        <v>0</v>
      </c>
    </row>
    <row r="65" spans="27:29" x14ac:dyDescent="0.25">
      <c r="AA65" s="23"/>
      <c r="AB65" s="23"/>
      <c r="AC65" s="149">
        <f t="shared" si="11"/>
        <v>0</v>
      </c>
    </row>
    <row r="66" spans="27:29" x14ac:dyDescent="0.25">
      <c r="AA66" s="23"/>
      <c r="AB66" s="23"/>
      <c r="AC66" s="149">
        <f t="shared" si="11"/>
        <v>0</v>
      </c>
    </row>
    <row r="67" spans="27:29" x14ac:dyDescent="0.25">
      <c r="AA67" s="23"/>
      <c r="AB67" s="23"/>
      <c r="AC67" s="149">
        <f t="shared" si="11"/>
        <v>0</v>
      </c>
    </row>
    <row r="68" spans="27:29" x14ac:dyDescent="0.25">
      <c r="AA68" s="23"/>
      <c r="AB68" s="23"/>
      <c r="AC68" s="149">
        <f t="shared" si="11"/>
        <v>0</v>
      </c>
    </row>
    <row r="69" spans="27:29" x14ac:dyDescent="0.25">
      <c r="AA69" s="153"/>
      <c r="AB69" s="153"/>
      <c r="AC69" s="161"/>
    </row>
    <row r="70" spans="27:29" x14ac:dyDescent="0.25">
      <c r="AA70" s="23"/>
      <c r="AB70" s="23"/>
      <c r="AC70" s="149">
        <f t="shared" ref="AC70:AC78" si="12">+Z70-AA70-AB70</f>
        <v>0</v>
      </c>
    </row>
    <row r="71" spans="27:29" x14ac:dyDescent="0.25">
      <c r="AA71" s="23"/>
      <c r="AB71" s="23"/>
      <c r="AC71" s="149">
        <f t="shared" si="12"/>
        <v>0</v>
      </c>
    </row>
    <row r="72" spans="27:29" x14ac:dyDescent="0.25">
      <c r="AA72" s="23"/>
      <c r="AB72" s="23"/>
      <c r="AC72" s="149">
        <f t="shared" si="12"/>
        <v>0</v>
      </c>
    </row>
    <row r="73" spans="27:29" x14ac:dyDescent="0.25">
      <c r="AA73" s="23"/>
      <c r="AB73" s="23"/>
      <c r="AC73" s="149">
        <f t="shared" si="12"/>
        <v>0</v>
      </c>
    </row>
    <row r="74" spans="27:29" x14ac:dyDescent="0.25">
      <c r="AA74" s="23"/>
      <c r="AB74" s="23"/>
      <c r="AC74" s="149">
        <f t="shared" si="12"/>
        <v>0</v>
      </c>
    </row>
    <row r="75" spans="27:29" x14ac:dyDescent="0.25">
      <c r="AA75" s="23"/>
      <c r="AB75" s="23"/>
      <c r="AC75" s="149">
        <f t="shared" si="12"/>
        <v>0</v>
      </c>
    </row>
    <row r="76" spans="27:29" x14ac:dyDescent="0.25">
      <c r="AA76" s="23"/>
      <c r="AB76" s="23"/>
      <c r="AC76" s="149">
        <f t="shared" si="12"/>
        <v>0</v>
      </c>
    </row>
    <row r="77" spans="27:29" x14ac:dyDescent="0.25">
      <c r="AA77" s="23"/>
      <c r="AB77" s="23"/>
      <c r="AC77" s="149">
        <f t="shared" si="12"/>
        <v>0</v>
      </c>
    </row>
    <row r="78" spans="27:29" x14ac:dyDescent="0.25">
      <c r="AA78" s="23"/>
      <c r="AB78" s="23"/>
      <c r="AC78" s="149">
        <f t="shared" si="12"/>
        <v>0</v>
      </c>
    </row>
    <row r="79" spans="27:29" x14ac:dyDescent="0.25">
      <c r="AA79" s="153"/>
      <c r="AB79" s="153"/>
      <c r="AC79" s="161"/>
    </row>
    <row r="80" spans="27:29" x14ac:dyDescent="0.25">
      <c r="AA80" s="23"/>
      <c r="AB80" s="23"/>
      <c r="AC80" s="149">
        <f t="shared" ref="AC80:AC91" si="13">+Z80-AA80-AB80</f>
        <v>0</v>
      </c>
    </row>
    <row r="81" spans="27:29" x14ac:dyDescent="0.25">
      <c r="AA81" s="23"/>
      <c r="AB81" s="23"/>
      <c r="AC81" s="149">
        <f t="shared" si="13"/>
        <v>0</v>
      </c>
    </row>
    <row r="82" spans="27:29" x14ac:dyDescent="0.25">
      <c r="AA82" s="23"/>
      <c r="AB82" s="23"/>
      <c r="AC82" s="149">
        <f t="shared" si="13"/>
        <v>0</v>
      </c>
    </row>
    <row r="83" spans="27:29" x14ac:dyDescent="0.25">
      <c r="AA83" s="23"/>
      <c r="AB83" s="23"/>
      <c r="AC83" s="149">
        <f t="shared" si="13"/>
        <v>0</v>
      </c>
    </row>
    <row r="84" spans="27:29" x14ac:dyDescent="0.25">
      <c r="AA84" s="23"/>
      <c r="AB84" s="23"/>
      <c r="AC84" s="149">
        <f t="shared" si="13"/>
        <v>0</v>
      </c>
    </row>
    <row r="85" spans="27:29" x14ac:dyDescent="0.25">
      <c r="AA85" s="23"/>
      <c r="AB85" s="23"/>
      <c r="AC85" s="149">
        <f t="shared" si="13"/>
        <v>0</v>
      </c>
    </row>
    <row r="86" spans="27:29" x14ac:dyDescent="0.25">
      <c r="AA86" s="23"/>
      <c r="AB86" s="23"/>
      <c r="AC86" s="149">
        <f t="shared" si="13"/>
        <v>0</v>
      </c>
    </row>
    <row r="87" spans="27:29" x14ac:dyDescent="0.25">
      <c r="AA87" s="23"/>
      <c r="AB87" s="23"/>
      <c r="AC87" s="149">
        <f t="shared" si="13"/>
        <v>0</v>
      </c>
    </row>
    <row r="88" spans="27:29" x14ac:dyDescent="0.25">
      <c r="AA88" s="23"/>
      <c r="AB88" s="23"/>
      <c r="AC88" s="149">
        <f t="shared" si="13"/>
        <v>0</v>
      </c>
    </row>
    <row r="89" spans="27:29" x14ac:dyDescent="0.25">
      <c r="AA89" s="23"/>
      <c r="AB89" s="23"/>
      <c r="AC89" s="149">
        <f t="shared" si="13"/>
        <v>0</v>
      </c>
    </row>
    <row r="90" spans="27:29" x14ac:dyDescent="0.25">
      <c r="AA90" s="23"/>
      <c r="AB90" s="23"/>
      <c r="AC90" s="149">
        <f t="shared" si="13"/>
        <v>0</v>
      </c>
    </row>
    <row r="91" spans="27:29" x14ac:dyDescent="0.25">
      <c r="AA91" s="23"/>
      <c r="AB91" s="23"/>
      <c r="AC91" s="149">
        <f t="shared" si="13"/>
        <v>0</v>
      </c>
    </row>
    <row r="92" spans="27:29" x14ac:dyDescent="0.25">
      <c r="AA92" s="23"/>
      <c r="AB92" s="23"/>
      <c r="AC92" s="23"/>
    </row>
    <row r="93" spans="27:29" x14ac:dyDescent="0.25">
      <c r="AA93" s="23"/>
      <c r="AB93" s="23"/>
      <c r="AC93" s="23"/>
    </row>
    <row r="94" spans="27:29" x14ac:dyDescent="0.25">
      <c r="AA94" s="23"/>
      <c r="AB94" s="23"/>
      <c r="AC94" s="23"/>
    </row>
    <row r="95" spans="27:29" x14ac:dyDescent="0.25">
      <c r="AA95" s="23"/>
      <c r="AB95" s="23"/>
      <c r="AC95" s="23"/>
    </row>
    <row r="96" spans="27:29" x14ac:dyDescent="0.25">
      <c r="AA96" s="23"/>
      <c r="AB96" s="23"/>
      <c r="AC96" s="23"/>
    </row>
    <row r="97" spans="27:29" ht="16.5" thickBot="1" x14ac:dyDescent="0.3">
      <c r="AA97" s="165">
        <f>SUM(AA7:AA96)</f>
        <v>0</v>
      </c>
      <c r="AB97" s="165">
        <f>SUM(AB7:AB96)</f>
        <v>0</v>
      </c>
      <c r="AC97" s="165">
        <f>SUM(AC7:AC96)</f>
        <v>-108384.85499999994</v>
      </c>
    </row>
    <row r="98" spans="27:29" ht="16.5" thickTop="1" x14ac:dyDescent="0.25">
      <c r="AA98" s="166"/>
      <c r="AB98" s="166"/>
      <c r="AC98" s="166"/>
    </row>
    <row r="99" spans="27:29" x14ac:dyDescent="0.25">
      <c r="AA99" s="166"/>
      <c r="AB99" s="166"/>
      <c r="AC99" s="166"/>
    </row>
    <row r="100" spans="27:29" x14ac:dyDescent="0.25">
      <c r="AA100" s="167" t="e">
        <f>+T100+#REF!+Z100</f>
        <v>#REF!</v>
      </c>
      <c r="AB100" s="167" t="e">
        <f>+U100+Z100+AA100</f>
        <v>#REF!</v>
      </c>
      <c r="AC100" s="167" t="e">
        <f>+V100+AA100+AB100</f>
        <v>#REF!</v>
      </c>
    </row>
    <row r="101" spans="27:29" x14ac:dyDescent="0.25">
      <c r="AA101" s="167" t="e">
        <f>+T101+#REF!+Z101</f>
        <v>#REF!</v>
      </c>
      <c r="AB101" s="167" t="e">
        <f>+U101+Z101+AA101</f>
        <v>#REF!</v>
      </c>
      <c r="AC101" s="167" t="e">
        <f>+V101+AA101+AB101</f>
        <v>#REF!</v>
      </c>
    </row>
  </sheetData>
  <sortState ref="A7:AA36">
    <sortCondition ref="B7:B36"/>
  </sortState>
  <mergeCells count="27">
    <mergeCell ref="AA5:AB5"/>
    <mergeCell ref="AC5:AC6"/>
    <mergeCell ref="AD5:AD6"/>
    <mergeCell ref="A44:B44"/>
    <mergeCell ref="V5:V6"/>
    <mergeCell ref="W5:W6"/>
    <mergeCell ref="X5:X6"/>
    <mergeCell ref="Y5:Y6"/>
    <mergeCell ref="Z5:Z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K104"/>
  <sheetViews>
    <sheetView tabSelected="1" workbookViewId="0">
      <pane xSplit="2" ySplit="9" topLeftCell="C20" activePane="bottomRight" state="frozen"/>
      <selection pane="topRight" activeCell="C1" sqref="C1"/>
      <selection pane="bottomLeft" activeCell="A10" sqref="A10"/>
      <selection pane="bottomRight" activeCell="E30" sqref="E30"/>
    </sheetView>
  </sheetViews>
  <sheetFormatPr baseColWidth="10" defaultRowHeight="15" x14ac:dyDescent="0.25"/>
  <cols>
    <col min="1" max="1" width="12.28515625" style="18" customWidth="1"/>
    <col min="2" max="2" width="40.28515625" style="16" customWidth="1"/>
    <col min="3" max="3" width="13" style="16" bestFit="1" customWidth="1"/>
    <col min="4" max="9" width="13" style="16" customWidth="1"/>
    <col min="10" max="10" width="13.5703125" style="16" bestFit="1" customWidth="1"/>
    <col min="11" max="11" width="13.5703125" style="16" customWidth="1"/>
    <col min="12" max="13" width="13" style="16" bestFit="1" customWidth="1"/>
    <col min="14" max="14" width="13.7109375" style="16" bestFit="1" customWidth="1"/>
    <col min="15" max="15" width="13.140625" style="16" bestFit="1" customWidth="1"/>
    <col min="16" max="16" width="16.5703125" style="16" bestFit="1" customWidth="1"/>
    <col min="17" max="17" width="15.140625" style="41" bestFit="1" customWidth="1"/>
    <col min="18" max="18" width="12.42578125" style="16" bestFit="1" customWidth="1"/>
    <col min="19" max="19" width="12.42578125" style="16" customWidth="1"/>
    <col min="20" max="20" width="9" style="16" customWidth="1"/>
    <col min="21" max="21" width="9" style="21" customWidth="1"/>
    <col min="22" max="22" width="15.5703125" style="233" customWidth="1"/>
    <col min="23" max="23" width="44.42578125" style="233" customWidth="1"/>
    <col min="24" max="29" width="11.42578125" style="233" customWidth="1"/>
    <col min="30" max="35" width="11.42578125" style="207" customWidth="1"/>
    <col min="36" max="36" width="11.42578125" style="208" customWidth="1"/>
    <col min="37" max="38" width="11.42578125" style="207" customWidth="1"/>
    <col min="39" max="39" width="11.5703125" style="207" customWidth="1"/>
    <col min="40" max="40" width="11.42578125" style="207" customWidth="1"/>
    <col min="41" max="41" width="11.5703125" style="207" customWidth="1"/>
    <col min="42" max="42" width="11.42578125" style="208" customWidth="1"/>
    <col min="43" max="43" width="11.42578125" style="207" customWidth="1"/>
    <col min="44" max="44" width="11.42578125" style="208" customWidth="1"/>
    <col min="45" max="46" width="11.42578125" style="207" customWidth="1"/>
    <col min="47" max="47" width="12.7109375" style="208" customWidth="1"/>
    <col min="48" max="48" width="10.140625" style="233" customWidth="1"/>
    <col min="49" max="49" width="11" style="233" customWidth="1"/>
    <col min="50" max="50" width="11.5703125" style="233" customWidth="1"/>
    <col min="51" max="51" width="32.7109375" style="233" customWidth="1"/>
    <col min="52" max="52" width="10.140625" style="233" customWidth="1"/>
    <col min="53" max="53" width="11" style="233" customWidth="1"/>
    <col min="54" max="54" width="13.85546875" style="233" customWidth="1"/>
    <col min="55" max="55" width="13.5703125" style="233" customWidth="1"/>
    <col min="56" max="58" width="11.42578125" style="233" customWidth="1"/>
    <col min="59" max="16384" width="11.42578125" style="21"/>
  </cols>
  <sheetData>
    <row r="1" spans="1:89" ht="18" customHeight="1" x14ac:dyDescent="0.25">
      <c r="A1" s="14" t="s">
        <v>0</v>
      </c>
      <c r="B1" s="302" t="s">
        <v>17</v>
      </c>
      <c r="C1" s="303"/>
      <c r="D1" s="15"/>
      <c r="E1" s="137" t="s">
        <v>297</v>
      </c>
      <c r="F1" s="194"/>
      <c r="G1" s="15"/>
      <c r="H1" s="62"/>
      <c r="I1" s="62" t="s">
        <v>21</v>
      </c>
      <c r="V1" s="196" t="s">
        <v>148</v>
      </c>
      <c r="W1" s="196"/>
      <c r="X1" s="196"/>
      <c r="Y1" s="197"/>
      <c r="Z1" s="197"/>
      <c r="AA1" s="197"/>
      <c r="AB1" s="197"/>
      <c r="AC1" s="197"/>
      <c r="AD1" s="198"/>
      <c r="AE1" s="198"/>
      <c r="AF1" s="198"/>
      <c r="AG1" s="198"/>
      <c r="AH1" s="198"/>
      <c r="AI1" s="198"/>
      <c r="AJ1" s="199"/>
      <c r="AK1" s="198"/>
      <c r="AL1" s="198"/>
      <c r="AM1" s="198"/>
      <c r="AN1" s="198"/>
      <c r="AO1" s="198"/>
      <c r="AP1" s="199"/>
      <c r="AQ1" s="198"/>
      <c r="AR1" s="199"/>
      <c r="AS1" s="198"/>
      <c r="AT1" s="198"/>
      <c r="AU1" s="199"/>
      <c r="AV1" s="200"/>
      <c r="AW1" s="200"/>
      <c r="AX1" s="200"/>
      <c r="AY1" s="201"/>
      <c r="AZ1" s="200"/>
      <c r="BA1" s="200"/>
      <c r="BB1" s="200"/>
      <c r="BC1" s="200"/>
      <c r="BD1" s="200"/>
      <c r="BE1" s="200"/>
      <c r="BF1" s="200"/>
    </row>
    <row r="2" spans="1:89" ht="24.95" customHeight="1" x14ac:dyDescent="0.25">
      <c r="A2" s="17" t="s">
        <v>1</v>
      </c>
      <c r="B2" s="131" t="s">
        <v>2</v>
      </c>
      <c r="C2" s="10"/>
      <c r="D2" s="10"/>
      <c r="E2" s="112" t="s">
        <v>108</v>
      </c>
      <c r="F2" s="112"/>
      <c r="G2" s="113">
        <v>1148.7</v>
      </c>
      <c r="H2" s="110" t="s">
        <v>309</v>
      </c>
      <c r="I2" s="110"/>
      <c r="J2" s="114"/>
      <c r="O2" s="41"/>
      <c r="Q2" s="16"/>
      <c r="S2" s="202" t="s">
        <v>149</v>
      </c>
      <c r="T2" s="202"/>
      <c r="U2" s="202"/>
      <c r="V2" s="202"/>
      <c r="W2" s="203"/>
      <c r="X2" s="203"/>
      <c r="Y2" s="203"/>
      <c r="Z2" s="203"/>
      <c r="AA2" s="203"/>
      <c r="AB2" s="198"/>
      <c r="AC2" s="198"/>
      <c r="AD2" s="198"/>
      <c r="AE2" s="198"/>
      <c r="AF2" s="198"/>
      <c r="AG2" s="198"/>
      <c r="AH2" s="199"/>
      <c r="AI2" s="198" t="s">
        <v>150</v>
      </c>
      <c r="AJ2" s="198"/>
      <c r="AK2" s="198"/>
      <c r="AL2" s="198"/>
      <c r="AM2" s="198"/>
      <c r="AN2" s="199"/>
      <c r="AO2" s="198"/>
      <c r="AP2" s="199"/>
      <c r="AQ2" s="198"/>
      <c r="AR2" s="198"/>
      <c r="AS2" s="199"/>
      <c r="AT2" s="200"/>
      <c r="AU2" s="200"/>
      <c r="AV2" s="200"/>
      <c r="AW2" s="201"/>
      <c r="AX2" s="200"/>
      <c r="AY2" s="200"/>
      <c r="AZ2" s="200"/>
      <c r="BA2" s="200"/>
      <c r="BB2" s="200"/>
      <c r="BC2" s="200"/>
      <c r="BD2" s="200"/>
      <c r="BE2" s="21"/>
      <c r="BF2" s="21"/>
    </row>
    <row r="3" spans="1:89" ht="15.75" x14ac:dyDescent="0.25">
      <c r="B3" s="64" t="s">
        <v>3</v>
      </c>
      <c r="C3" s="55"/>
      <c r="D3" s="55"/>
      <c r="E3" s="15"/>
      <c r="F3" s="194"/>
      <c r="G3" s="15"/>
      <c r="H3" s="62"/>
      <c r="I3" s="61"/>
      <c r="L3" s="41"/>
      <c r="V3" s="204" t="s">
        <v>303</v>
      </c>
      <c r="W3" s="204"/>
      <c r="X3" s="204"/>
      <c r="Y3" s="205"/>
      <c r="Z3" s="205"/>
      <c r="AA3" s="205"/>
      <c r="AB3" s="205"/>
      <c r="AC3" s="205"/>
      <c r="AD3" s="198"/>
      <c r="AE3" s="198"/>
      <c r="AF3" s="198"/>
      <c r="AG3" s="198"/>
      <c r="AH3" s="198"/>
      <c r="AI3" s="198"/>
      <c r="AJ3" s="199"/>
      <c r="AK3" s="198"/>
      <c r="AL3" s="198"/>
      <c r="AM3" s="198"/>
      <c r="AN3" s="198"/>
      <c r="AO3" s="198"/>
      <c r="AP3" s="199"/>
      <c r="AQ3" s="198"/>
      <c r="AR3" s="199"/>
      <c r="AS3" s="198"/>
      <c r="AT3" s="198"/>
      <c r="AU3" s="199"/>
      <c r="AV3" s="200"/>
      <c r="AW3" s="200"/>
      <c r="AX3" s="200"/>
      <c r="AY3" s="201"/>
      <c r="AZ3" s="200"/>
      <c r="BA3" s="200"/>
      <c r="BB3" s="200"/>
      <c r="BC3" s="200"/>
      <c r="BD3" s="200"/>
      <c r="BE3" s="200"/>
      <c r="BF3" s="200"/>
    </row>
    <row r="4" spans="1:89" x14ac:dyDescent="0.25">
      <c r="B4" s="144" t="s">
        <v>302</v>
      </c>
      <c r="C4" s="144"/>
      <c r="D4" s="144"/>
      <c r="E4" s="144"/>
      <c r="F4" s="144"/>
      <c r="G4" s="144"/>
      <c r="H4" s="62"/>
      <c r="I4" s="61"/>
      <c r="J4" s="49"/>
      <c r="K4" s="49"/>
      <c r="V4" s="206" t="s">
        <v>304</v>
      </c>
      <c r="W4" s="206"/>
      <c r="X4" s="206"/>
      <c r="Y4" s="206"/>
      <c r="Z4" s="206"/>
      <c r="AA4" s="206"/>
      <c r="AB4" s="206"/>
      <c r="AC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</row>
    <row r="5" spans="1:89" x14ac:dyDescent="0.25">
      <c r="B5" s="122" t="s">
        <v>246</v>
      </c>
      <c r="C5" s="44"/>
      <c r="D5" s="44"/>
      <c r="V5" s="304" t="s">
        <v>151</v>
      </c>
      <c r="W5" s="304" t="s">
        <v>152</v>
      </c>
      <c r="X5" s="304" t="s">
        <v>153</v>
      </c>
      <c r="Y5" s="304" t="s">
        <v>154</v>
      </c>
      <c r="Z5" s="301" t="s">
        <v>155</v>
      </c>
      <c r="AA5" s="301" t="s">
        <v>156</v>
      </c>
      <c r="AB5" s="209"/>
      <c r="AC5" s="209"/>
      <c r="AD5" s="301" t="s">
        <v>157</v>
      </c>
      <c r="AE5" s="209"/>
      <c r="AF5" s="209"/>
      <c r="AG5" s="301" t="s">
        <v>158</v>
      </c>
      <c r="AH5" s="301" t="s">
        <v>159</v>
      </c>
      <c r="AI5" s="301" t="s">
        <v>160</v>
      </c>
      <c r="AJ5" s="301" t="s">
        <v>161</v>
      </c>
      <c r="AK5" s="301" t="s">
        <v>162</v>
      </c>
      <c r="AL5" s="301" t="s">
        <v>163</v>
      </c>
      <c r="AM5" s="301" t="s">
        <v>164</v>
      </c>
      <c r="AN5" s="301" t="s">
        <v>165</v>
      </c>
      <c r="AO5" s="301" t="s">
        <v>166</v>
      </c>
      <c r="AP5" s="301" t="s">
        <v>167</v>
      </c>
      <c r="AQ5" s="301" t="s">
        <v>168</v>
      </c>
      <c r="AR5" s="301" t="s">
        <v>169</v>
      </c>
      <c r="AS5" s="301" t="s">
        <v>170</v>
      </c>
      <c r="AT5" s="301" t="s">
        <v>171</v>
      </c>
      <c r="AU5" s="301" t="s">
        <v>172</v>
      </c>
      <c r="AV5" s="297" t="s">
        <v>251</v>
      </c>
      <c r="AW5" s="298"/>
      <c r="AX5" s="210"/>
      <c r="AY5" s="299" t="s">
        <v>173</v>
      </c>
      <c r="AZ5" s="297" t="s">
        <v>251</v>
      </c>
      <c r="BA5" s="298"/>
      <c r="BB5" s="300" t="s">
        <v>252</v>
      </c>
      <c r="BC5" s="300" t="s">
        <v>253</v>
      </c>
      <c r="BD5" s="211"/>
      <c r="BE5" s="211"/>
      <c r="BF5" s="211"/>
    </row>
    <row r="6" spans="1:89" ht="45" x14ac:dyDescent="0.25">
      <c r="B6" s="63" t="s">
        <v>5</v>
      </c>
      <c r="C6" s="44"/>
      <c r="D6" s="44"/>
      <c r="V6" s="304"/>
      <c r="W6" s="304"/>
      <c r="X6" s="304"/>
      <c r="Y6" s="304"/>
      <c r="Z6" s="301"/>
      <c r="AA6" s="301"/>
      <c r="AB6" s="209" t="s">
        <v>174</v>
      </c>
      <c r="AC6" s="209" t="s">
        <v>175</v>
      </c>
      <c r="AD6" s="301"/>
      <c r="AE6" s="209" t="s">
        <v>176</v>
      </c>
      <c r="AF6" s="209" t="s">
        <v>305</v>
      </c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212" t="s">
        <v>174</v>
      </c>
      <c r="AW6" s="212" t="s">
        <v>175</v>
      </c>
      <c r="AX6" s="213" t="s">
        <v>252</v>
      </c>
      <c r="AY6" s="299"/>
      <c r="AZ6" s="212" t="s">
        <v>174</v>
      </c>
      <c r="BA6" s="212" t="s">
        <v>175</v>
      </c>
      <c r="BB6" s="300"/>
      <c r="BC6" s="300"/>
      <c r="BD6" s="211"/>
      <c r="BE6" s="211"/>
      <c r="BF6" s="211"/>
    </row>
    <row r="7" spans="1:89" x14ac:dyDescent="0.25">
      <c r="C7" s="44"/>
      <c r="D7" s="44"/>
      <c r="E7" s="44"/>
      <c r="F7" s="115"/>
      <c r="G7" s="44"/>
      <c r="H7" s="111"/>
      <c r="I7" s="44"/>
      <c r="J7" s="44"/>
      <c r="K7" s="115"/>
      <c r="L7" s="44"/>
      <c r="M7" s="44"/>
      <c r="N7" s="44"/>
      <c r="O7" s="44"/>
      <c r="P7" s="44"/>
      <c r="V7" s="241"/>
      <c r="W7" s="241"/>
      <c r="X7" s="241"/>
      <c r="Y7" s="241"/>
      <c r="Z7" s="209"/>
      <c r="AA7" s="209"/>
      <c r="AB7" s="209"/>
      <c r="AC7" s="209"/>
      <c r="AD7" s="209"/>
      <c r="AE7" s="242"/>
      <c r="AF7" s="242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43"/>
      <c r="AW7" s="243"/>
      <c r="AX7" s="243"/>
      <c r="AY7" s="244"/>
      <c r="AZ7" s="243"/>
      <c r="BA7" s="243"/>
      <c r="BB7" s="244"/>
      <c r="BC7" s="244"/>
      <c r="BD7" s="211"/>
      <c r="BE7" s="211"/>
      <c r="BF7" s="211"/>
    </row>
    <row r="8" spans="1:89" s="245" customFormat="1" ht="35.25" customHeight="1" thickBot="1" x14ac:dyDescent="0.3">
      <c r="A8" s="29" t="s">
        <v>6</v>
      </c>
      <c r="B8" s="19" t="s">
        <v>7</v>
      </c>
      <c r="C8" s="19" t="s">
        <v>22</v>
      </c>
      <c r="D8" s="19" t="s">
        <v>28</v>
      </c>
      <c r="E8" s="19" t="s">
        <v>23</v>
      </c>
      <c r="F8" s="19" t="s">
        <v>22</v>
      </c>
      <c r="G8" s="19" t="s">
        <v>32</v>
      </c>
      <c r="H8" s="19" t="s">
        <v>165</v>
      </c>
      <c r="I8" s="19" t="s">
        <v>21</v>
      </c>
      <c r="J8" s="19" t="s">
        <v>289</v>
      </c>
      <c r="K8" s="19" t="s">
        <v>308</v>
      </c>
      <c r="L8" s="19" t="s">
        <v>288</v>
      </c>
      <c r="M8" s="19" t="s">
        <v>147</v>
      </c>
      <c r="N8" s="19" t="s">
        <v>24</v>
      </c>
      <c r="O8" s="19" t="s">
        <v>25</v>
      </c>
      <c r="P8" s="19" t="s">
        <v>26</v>
      </c>
      <c r="Q8" s="19" t="s">
        <v>20</v>
      </c>
      <c r="R8" s="19" t="s">
        <v>27</v>
      </c>
      <c r="S8" s="272"/>
      <c r="T8" s="132"/>
      <c r="U8" s="278"/>
      <c r="V8" s="241"/>
      <c r="W8" s="241"/>
      <c r="X8" s="241"/>
      <c r="Y8" s="241"/>
      <c r="Z8" s="209"/>
      <c r="AA8" s="209"/>
      <c r="AB8" s="209"/>
      <c r="AC8" s="209"/>
      <c r="AD8" s="209"/>
      <c r="AE8" s="242"/>
      <c r="AF8" s="242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43"/>
      <c r="AW8" s="243"/>
      <c r="AX8" s="243"/>
      <c r="AY8" s="244"/>
      <c r="AZ8" s="243"/>
      <c r="BA8" s="243"/>
      <c r="BB8" s="244"/>
      <c r="BC8" s="244"/>
      <c r="BD8" s="211"/>
      <c r="BE8" s="211"/>
      <c r="BF8" s="211"/>
    </row>
    <row r="9" spans="1:89" ht="16.5" customHeight="1" thickTop="1" x14ac:dyDescent="0.25">
      <c r="A9" s="58" t="s">
        <v>14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33"/>
      <c r="U9" s="133"/>
      <c r="V9" s="241"/>
      <c r="W9" s="241"/>
      <c r="X9" s="241"/>
      <c r="Y9" s="241"/>
      <c r="Z9" s="209"/>
      <c r="AA9" s="209"/>
      <c r="AB9" s="209"/>
      <c r="AC9" s="209"/>
      <c r="AD9" s="209"/>
      <c r="AE9" s="242"/>
      <c r="AF9" s="242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43"/>
      <c r="AW9" s="243"/>
      <c r="AX9" s="243"/>
      <c r="AY9" s="244"/>
      <c r="AZ9" s="243"/>
      <c r="BA9" s="243"/>
      <c r="BB9" s="244"/>
      <c r="BC9" s="244"/>
      <c r="BD9" s="211"/>
      <c r="BE9" s="211"/>
      <c r="BF9" s="211"/>
    </row>
    <row r="10" spans="1:89" s="135" customFormat="1" hidden="1" x14ac:dyDescent="0.25">
      <c r="A10" s="246" t="s">
        <v>44</v>
      </c>
      <c r="B10" s="247" t="s">
        <v>43</v>
      </c>
      <c r="C10" s="248">
        <f>+AD10</f>
        <v>2333.31</v>
      </c>
      <c r="D10" s="248">
        <v>0</v>
      </c>
      <c r="E10" s="248">
        <f>+AE10</f>
        <v>6860.19</v>
      </c>
      <c r="F10" s="248">
        <f>SUM(C10:E10)</f>
        <v>9193.5</v>
      </c>
      <c r="G10" s="248">
        <f>+AI10</f>
        <v>45.15</v>
      </c>
      <c r="H10" s="248">
        <f>+AN10</f>
        <v>0</v>
      </c>
      <c r="I10" s="248">
        <f>+AO10</f>
        <v>0</v>
      </c>
      <c r="J10" s="248">
        <f>+AQ10</f>
        <v>914.83500000000004</v>
      </c>
      <c r="K10" s="248">
        <f>SUM(G10:J10)</f>
        <v>959.98500000000001</v>
      </c>
      <c r="L10" s="248">
        <f>+F10-K10</f>
        <v>8233.5149999999994</v>
      </c>
      <c r="M10" s="248">
        <f>+C10+D10+E10-G10</f>
        <v>9148.35</v>
      </c>
      <c r="N10" s="248">
        <f>+AS10</f>
        <v>0</v>
      </c>
      <c r="O10" s="248">
        <f>+'C&amp;A'!E10*0.02</f>
        <v>10.2256</v>
      </c>
      <c r="P10" s="248">
        <f>SUM(M10:O10)</f>
        <v>9158.5756000000001</v>
      </c>
      <c r="Q10" s="248">
        <f>+P10*0.16</f>
        <v>1465.3720960000001</v>
      </c>
      <c r="R10" s="248">
        <f>+P10+Q10</f>
        <v>10623.947695999999</v>
      </c>
      <c r="S10" s="273">
        <f>+L10-'C&amp;A'!J10-SINDICATO!L10</f>
        <v>0</v>
      </c>
      <c r="T10" s="249">
        <f>+L10-AR10</f>
        <v>0</v>
      </c>
      <c r="U10" s="133"/>
      <c r="V10" s="250" t="s">
        <v>186</v>
      </c>
      <c r="W10" s="250" t="s">
        <v>191</v>
      </c>
      <c r="X10" s="251" t="s">
        <v>44</v>
      </c>
      <c r="Y10" s="250" t="s">
        <v>188</v>
      </c>
      <c r="Z10" s="250"/>
      <c r="AA10" s="250"/>
      <c r="AB10" s="252">
        <v>511.28</v>
      </c>
      <c r="AC10" s="252">
        <v>1822.03</v>
      </c>
      <c r="AD10" s="252">
        <f t="shared" ref="AD10:AD38" si="0">+AB10+AC10</f>
        <v>2333.31</v>
      </c>
      <c r="AE10" s="253">
        <v>6860.19</v>
      </c>
      <c r="AF10" s="253">
        <v>0</v>
      </c>
      <c r="AG10" s="252"/>
      <c r="AH10" s="252"/>
      <c r="AI10" s="254">
        <v>45.15</v>
      </c>
      <c r="AJ10" s="255">
        <f t="shared" ref="AJ10:AJ38" si="1">SUM(AD10:AH10)-AI10</f>
        <v>9148.35</v>
      </c>
      <c r="AK10" s="252"/>
      <c r="AL10" s="256"/>
      <c r="AM10" s="256"/>
      <c r="AN10" s="252"/>
      <c r="AO10" s="252">
        <v>0</v>
      </c>
      <c r="AP10" s="255">
        <f t="shared" ref="AP10:AP38" si="2">+AJ10-SUM(AK10:AO10)</f>
        <v>9148.35</v>
      </c>
      <c r="AQ10" s="256">
        <f t="shared" ref="AQ10:AQ38" si="3">IF(AJ10&gt;3500,AJ10*0.1,0)</f>
        <v>914.83500000000004</v>
      </c>
      <c r="AR10" s="255">
        <f t="shared" ref="AR10:AR38" si="4">+AP10-AQ10</f>
        <v>8233.5149999999994</v>
      </c>
      <c r="AS10" s="256">
        <f t="shared" ref="AS10:AS38" si="5">IF(AJ10&lt;3500,AJ10*0.1,0)</f>
        <v>0</v>
      </c>
      <c r="AT10" s="256">
        <f t="shared" ref="AT10:AT38" si="6">AB10*0.02</f>
        <v>10.2256</v>
      </c>
      <c r="AU10" s="255">
        <f t="shared" ref="AU10:AU38" si="7">+AJ10+AS10+AT10</f>
        <v>9158.5756000000001</v>
      </c>
      <c r="AV10" s="257"/>
      <c r="AW10" s="257"/>
      <c r="AX10" s="258">
        <f t="shared" ref="AX10:AX42" si="8">+AV10+AW10-AR10</f>
        <v>-8233.5149999999994</v>
      </c>
      <c r="AY10" s="257"/>
      <c r="AZ10" s="257"/>
      <c r="BA10" s="257"/>
      <c r="BB10" s="258">
        <f t="shared" ref="BB10:BB38" si="9">+AZ10+BA10-AR10</f>
        <v>-8233.5149999999994</v>
      </c>
      <c r="BC10" s="257" t="s">
        <v>254</v>
      </c>
      <c r="BD10" s="257"/>
      <c r="BE10" s="257"/>
      <c r="BF10" s="257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</row>
    <row r="11" spans="1:89" s="135" customFormat="1" ht="15.75" hidden="1" customHeight="1" x14ac:dyDescent="0.25">
      <c r="A11" s="246" t="s">
        <v>45</v>
      </c>
      <c r="B11" s="259" t="s">
        <v>109</v>
      </c>
      <c r="C11" s="248">
        <f t="shared" ref="C11:C38" si="10">+AD11</f>
        <v>511.28</v>
      </c>
      <c r="D11" s="248">
        <v>0</v>
      </c>
      <c r="E11" s="248">
        <f t="shared" ref="E11:E38" si="11">+AE11</f>
        <v>8882.99</v>
      </c>
      <c r="F11" s="248">
        <f t="shared" ref="F11:F38" si="12">SUM(C11:E11)</f>
        <v>9394.27</v>
      </c>
      <c r="G11" s="248">
        <f t="shared" ref="G11:G38" si="13">+AI11</f>
        <v>45.15</v>
      </c>
      <c r="H11" s="248">
        <f t="shared" ref="H11:H37" si="14">+AN11</f>
        <v>0</v>
      </c>
      <c r="I11" s="248">
        <f t="shared" ref="I11:I38" si="15">+AO11</f>
        <v>0</v>
      </c>
      <c r="J11" s="248">
        <f t="shared" ref="J11:J38" si="16">+AQ11</f>
        <v>934.91200000000015</v>
      </c>
      <c r="K11" s="248">
        <f t="shared" ref="K11:K38" si="17">SUM(G11:J11)</f>
        <v>980.06200000000013</v>
      </c>
      <c r="L11" s="248">
        <f t="shared" ref="L11:L37" si="18">+F11-K11</f>
        <v>8414.2080000000005</v>
      </c>
      <c r="M11" s="248">
        <f t="shared" ref="M11:M38" si="19">+C11+D11+E11-G11</f>
        <v>9349.1200000000008</v>
      </c>
      <c r="N11" s="248">
        <f t="shared" ref="N11:N38" si="20">+AS11</f>
        <v>0</v>
      </c>
      <c r="O11" s="248">
        <f>+'C&amp;A'!E11*0.02</f>
        <v>10.2256</v>
      </c>
      <c r="P11" s="248">
        <f t="shared" ref="P11:P38" si="21">SUM(M11:O11)</f>
        <v>9359.3456000000006</v>
      </c>
      <c r="Q11" s="248">
        <f t="shared" ref="Q11:Q38" si="22">+P11*0.16</f>
        <v>1497.4952960000001</v>
      </c>
      <c r="R11" s="248">
        <f t="shared" ref="R11:R38" si="23">+P11+Q11</f>
        <v>10856.840896000002</v>
      </c>
      <c r="S11" s="273">
        <f>+L11-'C&amp;A'!J11-SINDICATO!L11</f>
        <v>0</v>
      </c>
      <c r="T11" s="249">
        <f t="shared" ref="T11:T16" si="24">+L11-AR11</f>
        <v>0</v>
      </c>
      <c r="U11" s="133"/>
      <c r="V11" s="250" t="s">
        <v>186</v>
      </c>
      <c r="W11" s="250" t="s">
        <v>192</v>
      </c>
      <c r="X11" s="251" t="s">
        <v>45</v>
      </c>
      <c r="Y11" s="250" t="s">
        <v>48</v>
      </c>
      <c r="Z11" s="250"/>
      <c r="AA11" s="250"/>
      <c r="AB11" s="252">
        <v>511.28</v>
      </c>
      <c r="AC11" s="252">
        <v>0</v>
      </c>
      <c r="AD11" s="252">
        <f t="shared" si="0"/>
        <v>511.28</v>
      </c>
      <c r="AE11" s="260">
        <v>8882.99</v>
      </c>
      <c r="AF11" s="260">
        <v>0</v>
      </c>
      <c r="AG11" s="252"/>
      <c r="AH11" s="252"/>
      <c r="AI11" s="254">
        <v>45.15</v>
      </c>
      <c r="AJ11" s="255">
        <f t="shared" si="1"/>
        <v>9349.1200000000008</v>
      </c>
      <c r="AK11" s="252"/>
      <c r="AL11" s="256"/>
      <c r="AM11" s="256"/>
      <c r="AN11" s="252"/>
      <c r="AO11" s="252">
        <v>0</v>
      </c>
      <c r="AP11" s="255">
        <f t="shared" si="2"/>
        <v>9349.1200000000008</v>
      </c>
      <c r="AQ11" s="256">
        <f t="shared" si="3"/>
        <v>934.91200000000015</v>
      </c>
      <c r="AR11" s="255">
        <f t="shared" si="4"/>
        <v>8414.2080000000005</v>
      </c>
      <c r="AS11" s="256">
        <f t="shared" si="5"/>
        <v>0</v>
      </c>
      <c r="AT11" s="256">
        <f t="shared" si="6"/>
        <v>10.2256</v>
      </c>
      <c r="AU11" s="255">
        <f t="shared" si="7"/>
        <v>9359.3456000000006</v>
      </c>
      <c r="AV11" s="257"/>
      <c r="AW11" s="257"/>
      <c r="AX11" s="258">
        <f t="shared" si="8"/>
        <v>-8414.2080000000005</v>
      </c>
      <c r="AY11" s="257"/>
      <c r="AZ11" s="257"/>
      <c r="BA11" s="257"/>
      <c r="BB11" s="258">
        <f t="shared" si="9"/>
        <v>-8414.2080000000005</v>
      </c>
      <c r="BC11" s="257" t="s">
        <v>255</v>
      </c>
      <c r="BD11" s="257"/>
      <c r="BE11" s="257"/>
      <c r="BF11" s="257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</row>
    <row r="12" spans="1:89" s="135" customFormat="1" hidden="1" x14ac:dyDescent="0.25">
      <c r="A12" s="246" t="s">
        <v>41</v>
      </c>
      <c r="B12" s="259" t="s">
        <v>103</v>
      </c>
      <c r="C12" s="248">
        <f t="shared" si="10"/>
        <v>511.28</v>
      </c>
      <c r="D12" s="248">
        <v>66.069999999999993</v>
      </c>
      <c r="E12" s="248">
        <f t="shared" si="11"/>
        <v>0</v>
      </c>
      <c r="F12" s="248">
        <f t="shared" si="12"/>
        <v>577.34999999999991</v>
      </c>
      <c r="G12" s="248">
        <f t="shared" si="13"/>
        <v>45.15</v>
      </c>
      <c r="H12" s="248">
        <f t="shared" si="14"/>
        <v>0</v>
      </c>
      <c r="I12" s="248">
        <f t="shared" si="15"/>
        <v>0</v>
      </c>
      <c r="J12" s="248">
        <f t="shared" si="16"/>
        <v>0</v>
      </c>
      <c r="K12" s="248">
        <f t="shared" si="17"/>
        <v>45.15</v>
      </c>
      <c r="L12" s="248">
        <f t="shared" si="18"/>
        <v>532.19999999999993</v>
      </c>
      <c r="M12" s="248">
        <f t="shared" si="19"/>
        <v>532.19999999999993</v>
      </c>
      <c r="N12" s="248">
        <f t="shared" si="20"/>
        <v>46.613</v>
      </c>
      <c r="O12" s="248">
        <f>+'C&amp;A'!E12*0.02</f>
        <v>9.3734000000000002</v>
      </c>
      <c r="P12" s="248">
        <f t="shared" si="21"/>
        <v>588.18639999999982</v>
      </c>
      <c r="Q12" s="248">
        <f t="shared" si="22"/>
        <v>94.109823999999975</v>
      </c>
      <c r="R12" s="248">
        <f t="shared" si="23"/>
        <v>682.29622399999982</v>
      </c>
      <c r="S12" s="273">
        <f>+L12-'C&amp;A'!J12-SINDICATO!L12</f>
        <v>2.1316282072803006E-14</v>
      </c>
      <c r="T12" s="249">
        <f t="shared" si="24"/>
        <v>66.069999999999936</v>
      </c>
      <c r="U12" s="133"/>
      <c r="V12" s="250" t="s">
        <v>186</v>
      </c>
      <c r="W12" s="250" t="s">
        <v>190</v>
      </c>
      <c r="X12" s="251" t="s">
        <v>41</v>
      </c>
      <c r="Y12" s="250" t="s">
        <v>48</v>
      </c>
      <c r="Z12" s="250"/>
      <c r="AA12" s="250"/>
      <c r="AB12" s="252">
        <v>511.28</v>
      </c>
      <c r="AC12" s="252">
        <v>0</v>
      </c>
      <c r="AD12" s="252">
        <f t="shared" si="0"/>
        <v>511.28</v>
      </c>
      <c r="AE12" s="261"/>
      <c r="AF12" s="261">
        <v>0</v>
      </c>
      <c r="AG12" s="252"/>
      <c r="AH12" s="252"/>
      <c r="AI12" s="254">
        <v>45.15</v>
      </c>
      <c r="AJ12" s="255">
        <f t="shared" si="1"/>
        <v>466.13</v>
      </c>
      <c r="AK12" s="252"/>
      <c r="AL12" s="256"/>
      <c r="AM12" s="256"/>
      <c r="AN12" s="252"/>
      <c r="AO12" s="252">
        <v>0</v>
      </c>
      <c r="AP12" s="255">
        <f t="shared" si="2"/>
        <v>466.13</v>
      </c>
      <c r="AQ12" s="256">
        <f t="shared" si="3"/>
        <v>0</v>
      </c>
      <c r="AR12" s="255">
        <f t="shared" si="4"/>
        <v>466.13</v>
      </c>
      <c r="AS12" s="256">
        <f t="shared" si="5"/>
        <v>46.613</v>
      </c>
      <c r="AT12" s="256">
        <f t="shared" si="6"/>
        <v>10.2256</v>
      </c>
      <c r="AU12" s="255">
        <f t="shared" si="7"/>
        <v>522.96859999999992</v>
      </c>
      <c r="AV12" s="257"/>
      <c r="AW12" s="257"/>
      <c r="AX12" s="258">
        <f t="shared" si="8"/>
        <v>-466.13</v>
      </c>
      <c r="AY12" s="257" t="s">
        <v>306</v>
      </c>
      <c r="AZ12" s="257"/>
      <c r="BA12" s="257"/>
      <c r="BB12" s="258">
        <f t="shared" si="9"/>
        <v>-466.13</v>
      </c>
      <c r="BC12" s="257" t="s">
        <v>256</v>
      </c>
      <c r="BD12" s="257"/>
      <c r="BE12" s="257"/>
      <c r="BF12" s="257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</row>
    <row r="13" spans="1:89" s="135" customFormat="1" ht="15.75" hidden="1" x14ac:dyDescent="0.25">
      <c r="A13" s="262" t="s">
        <v>222</v>
      </c>
      <c r="B13" s="263" t="s">
        <v>214</v>
      </c>
      <c r="C13" s="248">
        <f t="shared" si="10"/>
        <v>700</v>
      </c>
      <c r="D13" s="248">
        <v>0</v>
      </c>
      <c r="E13" s="248">
        <f t="shared" si="11"/>
        <v>2000</v>
      </c>
      <c r="F13" s="248">
        <f t="shared" si="12"/>
        <v>2700</v>
      </c>
      <c r="G13" s="248">
        <f t="shared" si="13"/>
        <v>45.15</v>
      </c>
      <c r="H13" s="248">
        <f t="shared" si="14"/>
        <v>0</v>
      </c>
      <c r="I13" s="248">
        <f t="shared" si="15"/>
        <v>0</v>
      </c>
      <c r="J13" s="248">
        <f t="shared" si="16"/>
        <v>0</v>
      </c>
      <c r="K13" s="248">
        <f t="shared" si="17"/>
        <v>45.15</v>
      </c>
      <c r="L13" s="248">
        <f t="shared" si="18"/>
        <v>2654.85</v>
      </c>
      <c r="M13" s="248">
        <f t="shared" si="19"/>
        <v>2654.85</v>
      </c>
      <c r="N13" s="248">
        <f t="shared" si="20"/>
        <v>265.48500000000001</v>
      </c>
      <c r="O13" s="248">
        <f>+'C&amp;A'!E13*0.02</f>
        <v>10.2256</v>
      </c>
      <c r="P13" s="248">
        <f t="shared" si="21"/>
        <v>2930.5606000000002</v>
      </c>
      <c r="Q13" s="248">
        <f t="shared" si="22"/>
        <v>468.88969600000007</v>
      </c>
      <c r="R13" s="248">
        <f t="shared" si="23"/>
        <v>3399.4502960000004</v>
      </c>
      <c r="S13" s="273">
        <f>+L13-'C&amp;A'!J13-SINDICATO!L13</f>
        <v>0</v>
      </c>
      <c r="T13" s="249">
        <f t="shared" si="24"/>
        <v>0</v>
      </c>
      <c r="U13" s="133"/>
      <c r="V13" s="250" t="s">
        <v>181</v>
      </c>
      <c r="W13" s="250" t="s">
        <v>214</v>
      </c>
      <c r="X13" s="251"/>
      <c r="Y13" s="250" t="s">
        <v>48</v>
      </c>
      <c r="Z13" s="250"/>
      <c r="AA13" s="250"/>
      <c r="AB13" s="252">
        <v>511.28</v>
      </c>
      <c r="AC13" s="252">
        <v>188.72000000000003</v>
      </c>
      <c r="AD13" s="252">
        <f t="shared" si="0"/>
        <v>700</v>
      </c>
      <c r="AE13" s="252">
        <v>2000</v>
      </c>
      <c r="AF13" s="252">
        <v>0</v>
      </c>
      <c r="AG13" s="252"/>
      <c r="AH13" s="252"/>
      <c r="AI13" s="254">
        <v>45.15</v>
      </c>
      <c r="AJ13" s="255">
        <f t="shared" si="1"/>
        <v>2654.85</v>
      </c>
      <c r="AK13" s="252"/>
      <c r="AL13" s="256"/>
      <c r="AM13" s="256"/>
      <c r="AN13" s="252"/>
      <c r="AO13" s="252">
        <v>0</v>
      </c>
      <c r="AP13" s="255">
        <f t="shared" si="2"/>
        <v>2654.85</v>
      </c>
      <c r="AQ13" s="256">
        <f t="shared" si="3"/>
        <v>0</v>
      </c>
      <c r="AR13" s="255">
        <f t="shared" si="4"/>
        <v>2654.85</v>
      </c>
      <c r="AS13" s="256">
        <f t="shared" si="5"/>
        <v>265.48500000000001</v>
      </c>
      <c r="AT13" s="256">
        <f t="shared" si="6"/>
        <v>10.2256</v>
      </c>
      <c r="AU13" s="255">
        <f t="shared" si="7"/>
        <v>2930.5606000000002</v>
      </c>
      <c r="AV13" s="257"/>
      <c r="AW13" s="257"/>
      <c r="AX13" s="258">
        <f t="shared" si="8"/>
        <v>-2654.85</v>
      </c>
      <c r="AY13" s="257"/>
      <c r="AZ13" s="257"/>
      <c r="BA13" s="257"/>
      <c r="BB13" s="258">
        <f t="shared" si="9"/>
        <v>-2654.85</v>
      </c>
      <c r="BC13" s="264">
        <v>2858200513</v>
      </c>
      <c r="BD13" s="257"/>
      <c r="BE13" s="257"/>
      <c r="BF13" s="257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</row>
    <row r="14" spans="1:89" s="135" customFormat="1" hidden="1" x14ac:dyDescent="0.25">
      <c r="A14" s="246" t="s">
        <v>36</v>
      </c>
      <c r="B14" s="247" t="s">
        <v>35</v>
      </c>
      <c r="C14" s="248">
        <f t="shared" si="10"/>
        <v>1750</v>
      </c>
      <c r="D14" s="248">
        <v>0</v>
      </c>
      <c r="E14" s="248">
        <f t="shared" si="11"/>
        <v>0</v>
      </c>
      <c r="F14" s="248">
        <f t="shared" si="12"/>
        <v>1750</v>
      </c>
      <c r="G14" s="248">
        <f t="shared" si="13"/>
        <v>45.15</v>
      </c>
      <c r="H14" s="248">
        <f t="shared" si="14"/>
        <v>0</v>
      </c>
      <c r="I14" s="248">
        <f t="shared" si="15"/>
        <v>0</v>
      </c>
      <c r="J14" s="248">
        <f t="shared" si="16"/>
        <v>0</v>
      </c>
      <c r="K14" s="248">
        <f t="shared" si="17"/>
        <v>45.15</v>
      </c>
      <c r="L14" s="248">
        <f t="shared" si="18"/>
        <v>1704.85</v>
      </c>
      <c r="M14" s="248">
        <f t="shared" si="19"/>
        <v>1704.85</v>
      </c>
      <c r="N14" s="248">
        <f t="shared" si="20"/>
        <v>170.48500000000001</v>
      </c>
      <c r="O14" s="248">
        <f>+'C&amp;A'!E14*0.02</f>
        <v>10.2256</v>
      </c>
      <c r="P14" s="248">
        <f t="shared" si="21"/>
        <v>1885.5606</v>
      </c>
      <c r="Q14" s="248">
        <f t="shared" si="22"/>
        <v>301.68969600000003</v>
      </c>
      <c r="R14" s="248">
        <f t="shared" si="23"/>
        <v>2187.2502960000002</v>
      </c>
      <c r="S14" s="273">
        <f>+L14-'C&amp;A'!J14-SINDICATO!L14</f>
        <v>0</v>
      </c>
      <c r="T14" s="249">
        <f t="shared" si="24"/>
        <v>0</v>
      </c>
      <c r="U14" s="133"/>
      <c r="V14" s="250" t="s">
        <v>177</v>
      </c>
      <c r="W14" s="250" t="s">
        <v>35</v>
      </c>
      <c r="X14" s="251" t="s">
        <v>36</v>
      </c>
      <c r="Y14" s="250" t="s">
        <v>46</v>
      </c>
      <c r="Z14" s="250"/>
      <c r="AA14" s="250"/>
      <c r="AB14" s="252">
        <v>511.28</v>
      </c>
      <c r="AC14" s="252">
        <v>1238.72</v>
      </c>
      <c r="AD14" s="252">
        <f t="shared" si="0"/>
        <v>1750</v>
      </c>
      <c r="AE14" s="252"/>
      <c r="AF14" s="252">
        <v>0</v>
      </c>
      <c r="AG14" s="252"/>
      <c r="AH14" s="252"/>
      <c r="AI14" s="254">
        <v>45.15</v>
      </c>
      <c r="AJ14" s="255">
        <f t="shared" si="1"/>
        <v>1704.85</v>
      </c>
      <c r="AK14" s="252"/>
      <c r="AL14" s="256"/>
      <c r="AM14" s="256"/>
      <c r="AN14" s="252"/>
      <c r="AO14" s="252">
        <v>0</v>
      </c>
      <c r="AP14" s="255">
        <f t="shared" si="2"/>
        <v>1704.85</v>
      </c>
      <c r="AQ14" s="256">
        <f t="shared" si="3"/>
        <v>0</v>
      </c>
      <c r="AR14" s="255">
        <f t="shared" si="4"/>
        <v>1704.85</v>
      </c>
      <c r="AS14" s="256">
        <f t="shared" si="5"/>
        <v>170.48500000000001</v>
      </c>
      <c r="AT14" s="256">
        <f t="shared" si="6"/>
        <v>10.2256</v>
      </c>
      <c r="AU14" s="255">
        <f t="shared" si="7"/>
        <v>1885.5606</v>
      </c>
      <c r="AV14" s="257"/>
      <c r="AW14" s="257"/>
      <c r="AX14" s="258">
        <f t="shared" si="8"/>
        <v>-1704.85</v>
      </c>
      <c r="AY14" s="257"/>
      <c r="AZ14" s="257"/>
      <c r="BA14" s="257"/>
      <c r="BB14" s="258">
        <f t="shared" si="9"/>
        <v>-1704.85</v>
      </c>
      <c r="BC14" s="257" t="s">
        <v>257</v>
      </c>
      <c r="BD14" s="257"/>
      <c r="BE14" s="257"/>
      <c r="BF14" s="257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</row>
    <row r="15" spans="1:89" s="135" customFormat="1" hidden="1" x14ac:dyDescent="0.25">
      <c r="A15" s="246" t="s">
        <v>49</v>
      </c>
      <c r="B15" s="259" t="s">
        <v>101</v>
      </c>
      <c r="C15" s="248">
        <f t="shared" si="10"/>
        <v>511.28</v>
      </c>
      <c r="D15" s="248">
        <v>0</v>
      </c>
      <c r="E15" s="248">
        <f t="shared" si="11"/>
        <v>4784.47</v>
      </c>
      <c r="F15" s="248">
        <f t="shared" si="12"/>
        <v>5295.75</v>
      </c>
      <c r="G15" s="248">
        <f t="shared" si="13"/>
        <v>45.15</v>
      </c>
      <c r="H15" s="248">
        <f t="shared" si="14"/>
        <v>0</v>
      </c>
      <c r="I15" s="248">
        <f t="shared" si="15"/>
        <v>1328.46</v>
      </c>
      <c r="J15" s="248">
        <f t="shared" si="16"/>
        <v>525.06000000000006</v>
      </c>
      <c r="K15" s="248">
        <f t="shared" si="17"/>
        <v>1898.67</v>
      </c>
      <c r="L15" s="248">
        <f t="shared" si="18"/>
        <v>3397.08</v>
      </c>
      <c r="M15" s="248">
        <f t="shared" si="19"/>
        <v>5250.6</v>
      </c>
      <c r="N15" s="248">
        <f t="shared" si="20"/>
        <v>0</v>
      </c>
      <c r="O15" s="248">
        <f>+'C&amp;A'!E15*0.02</f>
        <v>10.2256</v>
      </c>
      <c r="P15" s="248">
        <f t="shared" si="21"/>
        <v>5260.8256000000001</v>
      </c>
      <c r="Q15" s="248">
        <f t="shared" si="22"/>
        <v>841.73209600000007</v>
      </c>
      <c r="R15" s="248">
        <f t="shared" si="23"/>
        <v>6102.5576959999999</v>
      </c>
      <c r="S15" s="273">
        <f>+L15-'C&amp;A'!J15-SINDICATO!L15</f>
        <v>0</v>
      </c>
      <c r="T15" s="249">
        <f t="shared" si="24"/>
        <v>0</v>
      </c>
      <c r="U15" s="133"/>
      <c r="V15" s="250" t="s">
        <v>181</v>
      </c>
      <c r="W15" s="250" t="s">
        <v>182</v>
      </c>
      <c r="X15" s="251" t="s">
        <v>49</v>
      </c>
      <c r="Y15" s="250" t="s">
        <v>48</v>
      </c>
      <c r="Z15" s="250"/>
      <c r="AA15" s="250"/>
      <c r="AB15" s="252">
        <v>511.28</v>
      </c>
      <c r="AC15" s="252">
        <v>0</v>
      </c>
      <c r="AD15" s="252">
        <f t="shared" si="0"/>
        <v>511.28</v>
      </c>
      <c r="AE15" s="252">
        <v>4784.47</v>
      </c>
      <c r="AF15" s="252">
        <v>0</v>
      </c>
      <c r="AG15" s="252"/>
      <c r="AH15" s="252"/>
      <c r="AI15" s="254">
        <v>45.15</v>
      </c>
      <c r="AJ15" s="255">
        <f t="shared" si="1"/>
        <v>5250.6</v>
      </c>
      <c r="AK15" s="252"/>
      <c r="AL15" s="256"/>
      <c r="AM15" s="256"/>
      <c r="AN15" s="252"/>
      <c r="AO15" s="252">
        <v>1328.46</v>
      </c>
      <c r="AP15" s="255">
        <f t="shared" si="2"/>
        <v>3922.1400000000003</v>
      </c>
      <c r="AQ15" s="256">
        <f t="shared" si="3"/>
        <v>525.06000000000006</v>
      </c>
      <c r="AR15" s="255">
        <f t="shared" si="4"/>
        <v>3397.0800000000004</v>
      </c>
      <c r="AS15" s="256">
        <f t="shared" si="5"/>
        <v>0</v>
      </c>
      <c r="AT15" s="256">
        <f t="shared" si="6"/>
        <v>10.2256</v>
      </c>
      <c r="AU15" s="255">
        <f t="shared" si="7"/>
        <v>5260.8256000000001</v>
      </c>
      <c r="AV15" s="257"/>
      <c r="AW15" s="257"/>
      <c r="AX15" s="258">
        <f t="shared" si="8"/>
        <v>-3397.0800000000004</v>
      </c>
      <c r="AY15" s="257"/>
      <c r="AZ15" s="257"/>
      <c r="BA15" s="257"/>
      <c r="BB15" s="258">
        <f t="shared" si="9"/>
        <v>-3397.0800000000004</v>
      </c>
      <c r="BC15" s="257" t="s">
        <v>259</v>
      </c>
      <c r="BD15" s="257"/>
      <c r="BE15" s="257"/>
      <c r="BF15" s="257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</row>
    <row r="16" spans="1:89" s="135" customFormat="1" hidden="1" x14ac:dyDescent="0.25">
      <c r="A16" s="246" t="s">
        <v>50</v>
      </c>
      <c r="B16" s="259" t="s">
        <v>72</v>
      </c>
      <c r="C16" s="248">
        <f t="shared" si="10"/>
        <v>700</v>
      </c>
      <c r="D16" s="248">
        <v>0</v>
      </c>
      <c r="E16" s="248">
        <f t="shared" si="11"/>
        <v>0</v>
      </c>
      <c r="F16" s="248">
        <f t="shared" si="12"/>
        <v>700</v>
      </c>
      <c r="G16" s="248">
        <f t="shared" si="13"/>
        <v>45.15</v>
      </c>
      <c r="H16" s="248">
        <f t="shared" si="14"/>
        <v>0</v>
      </c>
      <c r="I16" s="248">
        <f t="shared" si="15"/>
        <v>0</v>
      </c>
      <c r="J16" s="248">
        <f t="shared" si="16"/>
        <v>0</v>
      </c>
      <c r="K16" s="248">
        <f t="shared" si="17"/>
        <v>45.15</v>
      </c>
      <c r="L16" s="248">
        <f t="shared" si="18"/>
        <v>654.85</v>
      </c>
      <c r="M16" s="248">
        <f t="shared" si="19"/>
        <v>654.85</v>
      </c>
      <c r="N16" s="248">
        <f t="shared" si="20"/>
        <v>65.484999999999999</v>
      </c>
      <c r="O16" s="248">
        <f>+'C&amp;A'!E16*0.02</f>
        <v>10.2256</v>
      </c>
      <c r="P16" s="248">
        <f t="shared" si="21"/>
        <v>730.56060000000002</v>
      </c>
      <c r="Q16" s="248">
        <f t="shared" si="22"/>
        <v>116.889696</v>
      </c>
      <c r="R16" s="248">
        <f t="shared" si="23"/>
        <v>847.45029599999998</v>
      </c>
      <c r="S16" s="273">
        <f>+L16-'C&amp;A'!J16-SINDICATO!L16</f>
        <v>0</v>
      </c>
      <c r="T16" s="249">
        <f t="shared" si="24"/>
        <v>0</v>
      </c>
      <c r="U16" s="133"/>
      <c r="V16" s="250" t="s">
        <v>186</v>
      </c>
      <c r="W16" s="250" t="s">
        <v>193</v>
      </c>
      <c r="X16" s="251" t="s">
        <v>50</v>
      </c>
      <c r="Y16" s="250" t="s">
        <v>48</v>
      </c>
      <c r="Z16" s="250"/>
      <c r="AA16" s="250"/>
      <c r="AB16" s="252">
        <v>511.28</v>
      </c>
      <c r="AC16" s="252">
        <v>188.72000000000003</v>
      </c>
      <c r="AD16" s="252">
        <f t="shared" si="0"/>
        <v>700</v>
      </c>
      <c r="AE16" s="260"/>
      <c r="AF16" s="260">
        <v>0</v>
      </c>
      <c r="AG16" s="252"/>
      <c r="AH16" s="252"/>
      <c r="AI16" s="254">
        <v>45.15</v>
      </c>
      <c r="AJ16" s="255">
        <f t="shared" si="1"/>
        <v>654.85</v>
      </c>
      <c r="AK16" s="252"/>
      <c r="AL16" s="256"/>
      <c r="AM16" s="256"/>
      <c r="AN16" s="252"/>
      <c r="AO16" s="252">
        <v>0</v>
      </c>
      <c r="AP16" s="255">
        <f t="shared" si="2"/>
        <v>654.85</v>
      </c>
      <c r="AQ16" s="256">
        <f t="shared" si="3"/>
        <v>0</v>
      </c>
      <c r="AR16" s="255">
        <f t="shared" si="4"/>
        <v>654.85</v>
      </c>
      <c r="AS16" s="256">
        <f t="shared" si="5"/>
        <v>65.484999999999999</v>
      </c>
      <c r="AT16" s="256">
        <f t="shared" si="6"/>
        <v>10.2256</v>
      </c>
      <c r="AU16" s="255">
        <f t="shared" si="7"/>
        <v>730.56060000000002</v>
      </c>
      <c r="AV16" s="257"/>
      <c r="AW16" s="257"/>
      <c r="AX16" s="258">
        <f t="shared" si="8"/>
        <v>-654.85</v>
      </c>
      <c r="AY16" s="257" t="s">
        <v>307</v>
      </c>
      <c r="AZ16" s="257"/>
      <c r="BA16" s="257"/>
      <c r="BB16" s="258">
        <f t="shared" si="9"/>
        <v>-654.85</v>
      </c>
      <c r="BC16" s="257" t="s">
        <v>260</v>
      </c>
      <c r="BD16" s="257"/>
      <c r="BE16" s="257"/>
      <c r="BF16" s="257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</row>
    <row r="17" spans="1:89" s="135" customFormat="1" hidden="1" x14ac:dyDescent="0.25">
      <c r="A17" s="246" t="s">
        <v>290</v>
      </c>
      <c r="B17" s="259" t="s">
        <v>292</v>
      </c>
      <c r="C17" s="248">
        <f t="shared" si="10"/>
        <v>511.28</v>
      </c>
      <c r="D17" s="248"/>
      <c r="E17" s="248">
        <f t="shared" si="11"/>
        <v>11664.18</v>
      </c>
      <c r="F17" s="248">
        <f t="shared" si="12"/>
        <v>12175.460000000001</v>
      </c>
      <c r="G17" s="248">
        <f t="shared" si="13"/>
        <v>45.15</v>
      </c>
      <c r="H17" s="248">
        <f t="shared" si="14"/>
        <v>0</v>
      </c>
      <c r="I17" s="248">
        <f t="shared" si="15"/>
        <v>0</v>
      </c>
      <c r="J17" s="248">
        <f t="shared" si="16"/>
        <v>1213.0310000000002</v>
      </c>
      <c r="K17" s="248">
        <f t="shared" si="17"/>
        <v>1258.1810000000003</v>
      </c>
      <c r="L17" s="248">
        <f t="shared" si="18"/>
        <v>10917.279</v>
      </c>
      <c r="M17" s="248">
        <f t="shared" si="19"/>
        <v>12130.310000000001</v>
      </c>
      <c r="N17" s="248">
        <f t="shared" si="20"/>
        <v>0</v>
      </c>
      <c r="O17" s="248">
        <f>+'C&amp;A'!E17*0.02</f>
        <v>10.2256</v>
      </c>
      <c r="P17" s="248">
        <f t="shared" si="21"/>
        <v>12140.535600000001</v>
      </c>
      <c r="Q17" s="248">
        <f t="shared" si="22"/>
        <v>1942.4856960000002</v>
      </c>
      <c r="R17" s="248">
        <f t="shared" si="23"/>
        <v>14083.021296000001</v>
      </c>
      <c r="S17" s="273">
        <f>+L17-'C&amp;A'!J17-SINDICATO!L17</f>
        <v>0</v>
      </c>
      <c r="T17" s="249">
        <f>+L17-AR17</f>
        <v>0</v>
      </c>
      <c r="U17" s="133"/>
      <c r="V17" s="250" t="s">
        <v>181</v>
      </c>
      <c r="W17" s="257" t="s">
        <v>261</v>
      </c>
      <c r="X17" s="251"/>
      <c r="Y17" s="250" t="s">
        <v>48</v>
      </c>
      <c r="Z17" s="250"/>
      <c r="AA17" s="250"/>
      <c r="AB17" s="252">
        <v>511.28</v>
      </c>
      <c r="AC17" s="252"/>
      <c r="AD17" s="252">
        <f t="shared" si="0"/>
        <v>511.28</v>
      </c>
      <c r="AE17" s="265">
        <v>11664.18</v>
      </c>
      <c r="AF17" s="260">
        <v>0</v>
      </c>
      <c r="AG17" s="252"/>
      <c r="AH17" s="252"/>
      <c r="AI17" s="254">
        <v>45.15</v>
      </c>
      <c r="AJ17" s="255">
        <f t="shared" si="1"/>
        <v>12130.310000000001</v>
      </c>
      <c r="AK17" s="252"/>
      <c r="AL17" s="256"/>
      <c r="AM17" s="256"/>
      <c r="AN17" s="252"/>
      <c r="AO17" s="252">
        <v>0</v>
      </c>
      <c r="AP17" s="255">
        <f t="shared" si="2"/>
        <v>12130.310000000001</v>
      </c>
      <c r="AQ17" s="256">
        <f t="shared" si="3"/>
        <v>1213.0310000000002</v>
      </c>
      <c r="AR17" s="255">
        <f t="shared" si="4"/>
        <v>10917.279</v>
      </c>
      <c r="AS17" s="256">
        <f t="shared" si="5"/>
        <v>0</v>
      </c>
      <c r="AT17" s="256">
        <f t="shared" si="6"/>
        <v>10.2256</v>
      </c>
      <c r="AU17" s="255">
        <f t="shared" si="7"/>
        <v>12140.535600000001</v>
      </c>
      <c r="AV17" s="257"/>
      <c r="AW17" s="257"/>
      <c r="AX17" s="258">
        <f t="shared" si="8"/>
        <v>-10917.279</v>
      </c>
      <c r="AY17" s="257"/>
      <c r="AZ17" s="257"/>
      <c r="BA17" s="257"/>
      <c r="BB17" s="258">
        <f t="shared" si="9"/>
        <v>-10917.279</v>
      </c>
      <c r="BC17" s="264">
        <v>1449517286</v>
      </c>
      <c r="BD17" s="257"/>
      <c r="BE17" s="257"/>
      <c r="BF17" s="257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</row>
    <row r="18" spans="1:89" s="135" customFormat="1" hidden="1" x14ac:dyDescent="0.25">
      <c r="A18" s="246" t="s">
        <v>73</v>
      </c>
      <c r="B18" s="259" t="s">
        <v>74</v>
      </c>
      <c r="C18" s="248">
        <f t="shared" si="10"/>
        <v>1633.33</v>
      </c>
      <c r="D18" s="248">
        <v>0</v>
      </c>
      <c r="E18" s="248">
        <f t="shared" si="11"/>
        <v>2306.98</v>
      </c>
      <c r="F18" s="248">
        <f t="shared" si="12"/>
        <v>3940.31</v>
      </c>
      <c r="G18" s="248">
        <f t="shared" si="13"/>
        <v>45.15</v>
      </c>
      <c r="H18" s="248">
        <f t="shared" si="14"/>
        <v>0</v>
      </c>
      <c r="I18" s="248">
        <f t="shared" si="15"/>
        <v>0</v>
      </c>
      <c r="J18" s="248">
        <f t="shared" si="16"/>
        <v>389.51600000000002</v>
      </c>
      <c r="K18" s="248">
        <f t="shared" si="17"/>
        <v>434.666</v>
      </c>
      <c r="L18" s="248">
        <f t="shared" si="18"/>
        <v>3505.6439999999998</v>
      </c>
      <c r="M18" s="248">
        <f t="shared" si="19"/>
        <v>3895.16</v>
      </c>
      <c r="N18" s="248">
        <f t="shared" si="20"/>
        <v>0</v>
      </c>
      <c r="O18" s="248">
        <f>+'C&amp;A'!E18*0.02</f>
        <v>10.2256</v>
      </c>
      <c r="P18" s="248">
        <f t="shared" si="21"/>
        <v>3905.3856000000001</v>
      </c>
      <c r="Q18" s="248">
        <f t="shared" si="22"/>
        <v>624.86169600000005</v>
      </c>
      <c r="R18" s="248">
        <f t="shared" si="23"/>
        <v>4530.2472960000005</v>
      </c>
      <c r="S18" s="273">
        <f>+L18-'C&amp;A'!J18-SINDICATO!L18</f>
        <v>0</v>
      </c>
      <c r="T18" s="249">
        <f>+L18-AR18</f>
        <v>0</v>
      </c>
      <c r="U18" s="133"/>
      <c r="V18" s="250" t="s">
        <v>186</v>
      </c>
      <c r="W18" s="250" t="s">
        <v>187</v>
      </c>
      <c r="X18" s="251">
        <v>5</v>
      </c>
      <c r="Y18" s="250" t="s">
        <v>188</v>
      </c>
      <c r="Z18" s="250"/>
      <c r="AA18" s="250"/>
      <c r="AB18" s="252">
        <v>511.28</v>
      </c>
      <c r="AC18" s="252">
        <v>1122.05</v>
      </c>
      <c r="AD18" s="252">
        <f t="shared" si="0"/>
        <v>1633.33</v>
      </c>
      <c r="AE18" s="260">
        <f>1184.93+1122.05</f>
        <v>2306.98</v>
      </c>
      <c r="AF18" s="260">
        <v>0</v>
      </c>
      <c r="AG18" s="266"/>
      <c r="AH18" s="252"/>
      <c r="AI18" s="254">
        <v>45.15</v>
      </c>
      <c r="AJ18" s="255">
        <f t="shared" si="1"/>
        <v>3895.16</v>
      </c>
      <c r="AK18" s="252"/>
      <c r="AL18" s="256"/>
      <c r="AM18" s="256"/>
      <c r="AN18" s="252"/>
      <c r="AO18" s="252">
        <v>0</v>
      </c>
      <c r="AP18" s="255">
        <f t="shared" si="2"/>
        <v>3895.16</v>
      </c>
      <c r="AQ18" s="256">
        <f t="shared" si="3"/>
        <v>389.51600000000002</v>
      </c>
      <c r="AR18" s="255">
        <f t="shared" si="4"/>
        <v>3505.6439999999998</v>
      </c>
      <c r="AS18" s="256">
        <f t="shared" si="5"/>
        <v>0</v>
      </c>
      <c r="AT18" s="256">
        <f t="shared" si="6"/>
        <v>10.2256</v>
      </c>
      <c r="AU18" s="255">
        <f t="shared" si="7"/>
        <v>3905.3856000000001</v>
      </c>
      <c r="AV18" s="257"/>
      <c r="AW18" s="257"/>
      <c r="AX18" s="258">
        <f t="shared" si="8"/>
        <v>-3505.6439999999998</v>
      </c>
      <c r="AY18" s="257"/>
      <c r="AZ18" s="257"/>
      <c r="BA18" s="257"/>
      <c r="BB18" s="258">
        <f t="shared" si="9"/>
        <v>-3505.6439999999998</v>
      </c>
      <c r="BC18" s="257" t="s">
        <v>262</v>
      </c>
      <c r="BD18" s="257"/>
      <c r="BE18" s="257"/>
      <c r="BF18" s="257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</row>
    <row r="19" spans="1:89" s="135" customFormat="1" hidden="1" x14ac:dyDescent="0.25">
      <c r="A19" s="246" t="s">
        <v>51</v>
      </c>
      <c r="B19" s="259" t="s">
        <v>105</v>
      </c>
      <c r="C19" s="248">
        <f t="shared" si="10"/>
        <v>511.28</v>
      </c>
      <c r="D19" s="248">
        <v>0</v>
      </c>
      <c r="E19" s="248">
        <f t="shared" si="11"/>
        <v>10923.36</v>
      </c>
      <c r="F19" s="248">
        <f t="shared" si="12"/>
        <v>11434.640000000001</v>
      </c>
      <c r="G19" s="248">
        <f t="shared" si="13"/>
        <v>45.15</v>
      </c>
      <c r="H19" s="248">
        <f t="shared" si="14"/>
        <v>0</v>
      </c>
      <c r="I19" s="248">
        <f t="shared" si="15"/>
        <v>0</v>
      </c>
      <c r="J19" s="248">
        <f t="shared" si="16"/>
        <v>1138.9490000000003</v>
      </c>
      <c r="K19" s="248">
        <f t="shared" si="17"/>
        <v>1184.0990000000004</v>
      </c>
      <c r="L19" s="248">
        <f t="shared" si="18"/>
        <v>10250.541000000001</v>
      </c>
      <c r="M19" s="248">
        <f t="shared" si="19"/>
        <v>11389.490000000002</v>
      </c>
      <c r="N19" s="248">
        <f t="shared" si="20"/>
        <v>0</v>
      </c>
      <c r="O19" s="248">
        <f>+'C&amp;A'!E19*0.02</f>
        <v>10.2256</v>
      </c>
      <c r="P19" s="248">
        <f t="shared" si="21"/>
        <v>11399.715600000001</v>
      </c>
      <c r="Q19" s="248">
        <f t="shared" si="22"/>
        <v>1823.9544960000003</v>
      </c>
      <c r="R19" s="248">
        <f t="shared" si="23"/>
        <v>13223.670096000002</v>
      </c>
      <c r="S19" s="273">
        <f>+L19-'C&amp;A'!J19-SINDICATO!L19</f>
        <v>0</v>
      </c>
      <c r="T19" s="249">
        <f t="shared" ref="T19:T21" si="25">+L19-AR19</f>
        <v>0</v>
      </c>
      <c r="U19" s="133"/>
      <c r="V19" s="250" t="s">
        <v>186</v>
      </c>
      <c r="W19" s="250" t="s">
        <v>194</v>
      </c>
      <c r="X19" s="251" t="s">
        <v>51</v>
      </c>
      <c r="Y19" s="250" t="s">
        <v>48</v>
      </c>
      <c r="Z19" s="250"/>
      <c r="AA19" s="250"/>
      <c r="AB19" s="252">
        <v>511.28</v>
      </c>
      <c r="AC19" s="252">
        <v>0</v>
      </c>
      <c r="AD19" s="252">
        <f t="shared" si="0"/>
        <v>511.28</v>
      </c>
      <c r="AE19" s="252">
        <v>10923.36</v>
      </c>
      <c r="AF19" s="252">
        <v>0</v>
      </c>
      <c r="AG19" s="252"/>
      <c r="AH19" s="252"/>
      <c r="AI19" s="254">
        <v>45.15</v>
      </c>
      <c r="AJ19" s="255">
        <f t="shared" si="1"/>
        <v>11389.490000000002</v>
      </c>
      <c r="AK19" s="252"/>
      <c r="AL19" s="256"/>
      <c r="AM19" s="256"/>
      <c r="AN19" s="252"/>
      <c r="AO19" s="252">
        <v>0</v>
      </c>
      <c r="AP19" s="255">
        <f t="shared" si="2"/>
        <v>11389.490000000002</v>
      </c>
      <c r="AQ19" s="256">
        <f t="shared" si="3"/>
        <v>1138.9490000000003</v>
      </c>
      <c r="AR19" s="255">
        <f t="shared" si="4"/>
        <v>10250.541000000001</v>
      </c>
      <c r="AS19" s="256">
        <f t="shared" si="5"/>
        <v>0</v>
      </c>
      <c r="AT19" s="256">
        <f t="shared" si="6"/>
        <v>10.2256</v>
      </c>
      <c r="AU19" s="255">
        <f t="shared" si="7"/>
        <v>11399.715600000001</v>
      </c>
      <c r="AV19" s="257"/>
      <c r="AW19" s="257"/>
      <c r="AX19" s="258">
        <f t="shared" si="8"/>
        <v>-10250.541000000001</v>
      </c>
      <c r="AY19" s="257"/>
      <c r="AZ19" s="257"/>
      <c r="BA19" s="257"/>
      <c r="BB19" s="258">
        <f t="shared" si="9"/>
        <v>-10250.541000000001</v>
      </c>
      <c r="BC19" s="257" t="s">
        <v>263</v>
      </c>
      <c r="BD19" s="257"/>
      <c r="BE19" s="257"/>
      <c r="BF19" s="257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</row>
    <row r="20" spans="1:89" s="135" customFormat="1" x14ac:dyDescent="0.25">
      <c r="A20" s="246" t="s">
        <v>38</v>
      </c>
      <c r="B20" s="247" t="s">
        <v>180</v>
      </c>
      <c r="C20" s="248">
        <f t="shared" si="10"/>
        <v>1166.6600000000001</v>
      </c>
      <c r="D20" s="248">
        <v>0</v>
      </c>
      <c r="E20" s="248">
        <f t="shared" si="11"/>
        <v>1300.9100000000001</v>
      </c>
      <c r="F20" s="248">
        <f t="shared" si="12"/>
        <v>2467.5700000000002</v>
      </c>
      <c r="G20" s="248">
        <f t="shared" si="13"/>
        <v>45.15</v>
      </c>
      <c r="H20" s="248">
        <f t="shared" si="14"/>
        <v>0</v>
      </c>
      <c r="I20" s="248">
        <f t="shared" si="15"/>
        <v>498.65</v>
      </c>
      <c r="J20" s="248">
        <f t="shared" si="16"/>
        <v>0</v>
      </c>
      <c r="K20" s="248">
        <f t="shared" si="17"/>
        <v>543.79999999999995</v>
      </c>
      <c r="L20" s="248">
        <f t="shared" si="18"/>
        <v>1923.7700000000002</v>
      </c>
      <c r="M20" s="248">
        <f t="shared" si="19"/>
        <v>2422.42</v>
      </c>
      <c r="N20" s="248">
        <f t="shared" si="20"/>
        <v>242.24200000000002</v>
      </c>
      <c r="O20" s="248">
        <f>+'C&amp;A'!E20*0.02</f>
        <v>10.2256</v>
      </c>
      <c r="P20" s="248">
        <f t="shared" si="21"/>
        <v>2674.8876000000005</v>
      </c>
      <c r="Q20" s="248">
        <f t="shared" si="22"/>
        <v>427.9820160000001</v>
      </c>
      <c r="R20" s="248">
        <f t="shared" si="23"/>
        <v>3102.8696160000004</v>
      </c>
      <c r="S20" s="273">
        <f>+L20-'C&amp;A'!J20-SINDICATO!L20</f>
        <v>0</v>
      </c>
      <c r="T20" s="249">
        <f t="shared" si="25"/>
        <v>0</v>
      </c>
      <c r="U20" s="133"/>
      <c r="V20" s="250" t="s">
        <v>178</v>
      </c>
      <c r="W20" s="250" t="s">
        <v>180</v>
      </c>
      <c r="X20" s="251" t="s">
        <v>38</v>
      </c>
      <c r="Y20" s="250" t="s">
        <v>47</v>
      </c>
      <c r="Z20" s="250"/>
      <c r="AA20" s="250"/>
      <c r="AB20" s="252">
        <v>511.28</v>
      </c>
      <c r="AC20" s="252">
        <v>655.38000000000011</v>
      </c>
      <c r="AD20" s="252">
        <f t="shared" si="0"/>
        <v>1166.6600000000001</v>
      </c>
      <c r="AE20" s="253">
        <v>1300.9100000000001</v>
      </c>
      <c r="AF20" s="253">
        <v>0</v>
      </c>
      <c r="AG20" s="252"/>
      <c r="AH20" s="252"/>
      <c r="AI20" s="254">
        <v>45.15</v>
      </c>
      <c r="AJ20" s="255">
        <f t="shared" si="1"/>
        <v>2422.42</v>
      </c>
      <c r="AK20" s="252"/>
      <c r="AL20" s="256"/>
      <c r="AM20" s="256"/>
      <c r="AN20" s="252"/>
      <c r="AO20" s="252">
        <v>498.65</v>
      </c>
      <c r="AP20" s="255">
        <f t="shared" si="2"/>
        <v>1923.77</v>
      </c>
      <c r="AQ20" s="256">
        <f t="shared" si="3"/>
        <v>0</v>
      </c>
      <c r="AR20" s="255">
        <f t="shared" si="4"/>
        <v>1923.77</v>
      </c>
      <c r="AS20" s="256">
        <f t="shared" si="5"/>
        <v>242.24200000000002</v>
      </c>
      <c r="AT20" s="256">
        <f t="shared" si="6"/>
        <v>10.2256</v>
      </c>
      <c r="AU20" s="255">
        <f t="shared" si="7"/>
        <v>2674.8876000000005</v>
      </c>
      <c r="AV20" s="257"/>
      <c r="AW20" s="257"/>
      <c r="AX20" s="258">
        <f t="shared" si="8"/>
        <v>-1923.77</v>
      </c>
      <c r="AY20" s="257"/>
      <c r="AZ20" s="257"/>
      <c r="BA20" s="257"/>
      <c r="BB20" s="258">
        <f t="shared" si="9"/>
        <v>-1923.77</v>
      </c>
      <c r="BC20" s="257" t="s">
        <v>264</v>
      </c>
      <c r="BD20" s="257"/>
      <c r="BE20" s="257"/>
      <c r="BF20" s="257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</row>
    <row r="21" spans="1:89" s="135" customFormat="1" ht="15.75" hidden="1" x14ac:dyDescent="0.25">
      <c r="A21" s="262" t="s">
        <v>228</v>
      </c>
      <c r="B21" s="263" t="s">
        <v>203</v>
      </c>
      <c r="C21" s="248">
        <f t="shared" si="10"/>
        <v>700</v>
      </c>
      <c r="D21" s="248">
        <v>0</v>
      </c>
      <c r="E21" s="248">
        <f t="shared" si="11"/>
        <v>0</v>
      </c>
      <c r="F21" s="248">
        <f t="shared" si="12"/>
        <v>700</v>
      </c>
      <c r="G21" s="248">
        <f t="shared" si="13"/>
        <v>45.15</v>
      </c>
      <c r="H21" s="248">
        <f t="shared" si="14"/>
        <v>0</v>
      </c>
      <c r="I21" s="248">
        <f t="shared" si="15"/>
        <v>0</v>
      </c>
      <c r="J21" s="248">
        <f t="shared" si="16"/>
        <v>0</v>
      </c>
      <c r="K21" s="248">
        <f t="shared" si="17"/>
        <v>45.15</v>
      </c>
      <c r="L21" s="248">
        <f t="shared" si="18"/>
        <v>654.85</v>
      </c>
      <c r="M21" s="248">
        <f t="shared" si="19"/>
        <v>654.85</v>
      </c>
      <c r="N21" s="248">
        <f t="shared" si="20"/>
        <v>65.484999999999999</v>
      </c>
      <c r="O21" s="248">
        <f>+'C&amp;A'!E21*0.02</f>
        <v>10.2256</v>
      </c>
      <c r="P21" s="248">
        <f t="shared" si="21"/>
        <v>730.56060000000002</v>
      </c>
      <c r="Q21" s="248">
        <f t="shared" si="22"/>
        <v>116.889696</v>
      </c>
      <c r="R21" s="248">
        <f t="shared" si="23"/>
        <v>847.45029599999998</v>
      </c>
      <c r="S21" s="273">
        <f>+L21-'C&amp;A'!J21-SINDICATO!L21</f>
        <v>0</v>
      </c>
      <c r="T21" s="249">
        <f t="shared" si="25"/>
        <v>0</v>
      </c>
      <c r="U21" s="133"/>
      <c r="V21" s="250" t="s">
        <v>186</v>
      </c>
      <c r="W21" s="250" t="s">
        <v>203</v>
      </c>
      <c r="X21" s="251"/>
      <c r="Y21" s="250" t="s">
        <v>48</v>
      </c>
      <c r="Z21" s="250"/>
      <c r="AA21" s="250"/>
      <c r="AB21" s="252">
        <v>700</v>
      </c>
      <c r="AC21" s="252">
        <v>0</v>
      </c>
      <c r="AD21" s="252">
        <f t="shared" si="0"/>
        <v>700</v>
      </c>
      <c r="AE21" s="252"/>
      <c r="AF21" s="252">
        <v>0</v>
      </c>
      <c r="AG21" s="252"/>
      <c r="AH21" s="252"/>
      <c r="AI21" s="254">
        <v>45.15</v>
      </c>
      <c r="AJ21" s="255">
        <f t="shared" si="1"/>
        <v>654.85</v>
      </c>
      <c r="AK21" s="252"/>
      <c r="AL21" s="256"/>
      <c r="AM21" s="256"/>
      <c r="AN21" s="252"/>
      <c r="AO21" s="252">
        <v>0</v>
      </c>
      <c r="AP21" s="255">
        <f t="shared" si="2"/>
        <v>654.85</v>
      </c>
      <c r="AQ21" s="256">
        <f t="shared" si="3"/>
        <v>0</v>
      </c>
      <c r="AR21" s="255">
        <f t="shared" si="4"/>
        <v>654.85</v>
      </c>
      <c r="AS21" s="256">
        <f t="shared" si="5"/>
        <v>65.484999999999999</v>
      </c>
      <c r="AT21" s="256">
        <f t="shared" si="6"/>
        <v>14</v>
      </c>
      <c r="AU21" s="255">
        <f t="shared" si="7"/>
        <v>734.33500000000004</v>
      </c>
      <c r="AV21" s="257"/>
      <c r="AW21" s="257"/>
      <c r="AX21" s="258">
        <f t="shared" si="8"/>
        <v>-654.85</v>
      </c>
      <c r="AY21" s="257"/>
      <c r="AZ21" s="257"/>
      <c r="BA21" s="257"/>
      <c r="BB21" s="258">
        <f t="shared" si="9"/>
        <v>-654.85</v>
      </c>
      <c r="BC21" s="264">
        <v>2778164622</v>
      </c>
      <c r="BD21" s="257"/>
      <c r="BE21" s="257"/>
      <c r="BF21" s="257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</row>
    <row r="22" spans="1:89" s="135" customFormat="1" ht="15.75" hidden="1" x14ac:dyDescent="0.25">
      <c r="A22" s="262" t="s">
        <v>291</v>
      </c>
      <c r="B22" s="267" t="s">
        <v>275</v>
      </c>
      <c r="C22" s="248">
        <f t="shared" si="10"/>
        <v>700</v>
      </c>
      <c r="D22" s="248"/>
      <c r="E22" s="248">
        <f t="shared" si="11"/>
        <v>0</v>
      </c>
      <c r="F22" s="248">
        <f t="shared" si="12"/>
        <v>700</v>
      </c>
      <c r="G22" s="248">
        <f t="shared" si="13"/>
        <v>45.15</v>
      </c>
      <c r="H22" s="248">
        <f t="shared" si="14"/>
        <v>0</v>
      </c>
      <c r="I22" s="248">
        <f t="shared" si="15"/>
        <v>0</v>
      </c>
      <c r="J22" s="248">
        <f t="shared" si="16"/>
        <v>0</v>
      </c>
      <c r="K22" s="248">
        <f t="shared" si="17"/>
        <v>45.15</v>
      </c>
      <c r="L22" s="248">
        <f t="shared" si="18"/>
        <v>654.85</v>
      </c>
      <c r="M22" s="248">
        <f t="shared" si="19"/>
        <v>654.85</v>
      </c>
      <c r="N22" s="248">
        <f t="shared" si="20"/>
        <v>65.484999999999999</v>
      </c>
      <c r="O22" s="248">
        <f>+'C&amp;A'!E22*0.02</f>
        <v>10.2256</v>
      </c>
      <c r="P22" s="248">
        <f t="shared" si="21"/>
        <v>730.56060000000002</v>
      </c>
      <c r="Q22" s="248">
        <f t="shared" si="22"/>
        <v>116.889696</v>
      </c>
      <c r="R22" s="248">
        <f t="shared" si="23"/>
        <v>847.45029599999998</v>
      </c>
      <c r="S22" s="273">
        <f>+L22-'C&amp;A'!J22-SINDICATO!L22</f>
        <v>0</v>
      </c>
      <c r="T22" s="249">
        <f>+L22-AR22</f>
        <v>0</v>
      </c>
      <c r="U22" s="133"/>
      <c r="V22" s="250" t="s">
        <v>186</v>
      </c>
      <c r="W22" s="250" t="s">
        <v>275</v>
      </c>
      <c r="X22" s="251"/>
      <c r="Y22" s="250" t="s">
        <v>48</v>
      </c>
      <c r="Z22" s="250"/>
      <c r="AA22" s="250"/>
      <c r="AB22" s="252">
        <v>511.28</v>
      </c>
      <c r="AC22" s="252">
        <v>188.72000000000003</v>
      </c>
      <c r="AD22" s="252">
        <f t="shared" si="0"/>
        <v>700</v>
      </c>
      <c r="AE22" s="261"/>
      <c r="AF22" s="261">
        <v>0</v>
      </c>
      <c r="AG22" s="252"/>
      <c r="AH22" s="252"/>
      <c r="AI22" s="254">
        <v>45.15</v>
      </c>
      <c r="AJ22" s="255">
        <f t="shared" si="1"/>
        <v>654.85</v>
      </c>
      <c r="AK22" s="252"/>
      <c r="AL22" s="256"/>
      <c r="AM22" s="256"/>
      <c r="AN22" s="252"/>
      <c r="AO22" s="252"/>
      <c r="AP22" s="255">
        <f t="shared" si="2"/>
        <v>654.85</v>
      </c>
      <c r="AQ22" s="256">
        <f t="shared" si="3"/>
        <v>0</v>
      </c>
      <c r="AR22" s="255">
        <f t="shared" si="4"/>
        <v>654.85</v>
      </c>
      <c r="AS22" s="256">
        <f t="shared" si="5"/>
        <v>65.484999999999999</v>
      </c>
      <c r="AT22" s="256">
        <f t="shared" si="6"/>
        <v>10.2256</v>
      </c>
      <c r="AU22" s="255">
        <f t="shared" si="7"/>
        <v>730.56060000000002</v>
      </c>
      <c r="AV22" s="257"/>
      <c r="AW22" s="257"/>
      <c r="AX22" s="258">
        <f t="shared" si="8"/>
        <v>-654.85</v>
      </c>
      <c r="AY22" s="257"/>
      <c r="AZ22" s="257"/>
      <c r="BA22" s="257"/>
      <c r="BB22" s="258">
        <f t="shared" si="9"/>
        <v>-654.85</v>
      </c>
      <c r="BC22" s="257"/>
      <c r="BD22" s="257" t="s">
        <v>277</v>
      </c>
      <c r="BE22" s="257"/>
      <c r="BF22" s="257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</row>
    <row r="23" spans="1:89" s="135" customFormat="1" hidden="1" x14ac:dyDescent="0.25">
      <c r="A23" s="246" t="s">
        <v>77</v>
      </c>
      <c r="B23" s="247" t="s">
        <v>99</v>
      </c>
      <c r="C23" s="248">
        <f t="shared" si="10"/>
        <v>1633.33</v>
      </c>
      <c r="D23" s="248">
        <v>0</v>
      </c>
      <c r="E23" s="248">
        <f t="shared" si="11"/>
        <v>7007.35</v>
      </c>
      <c r="F23" s="248">
        <f t="shared" si="12"/>
        <v>8640.68</v>
      </c>
      <c r="G23" s="248">
        <f t="shared" si="13"/>
        <v>45.15</v>
      </c>
      <c r="H23" s="248">
        <f t="shared" si="14"/>
        <v>524.16999999999996</v>
      </c>
      <c r="I23" s="248">
        <f t="shared" si="15"/>
        <v>144.03</v>
      </c>
      <c r="J23" s="248">
        <f t="shared" si="16"/>
        <v>859.55300000000011</v>
      </c>
      <c r="K23" s="248">
        <f t="shared" si="17"/>
        <v>1572.903</v>
      </c>
      <c r="L23" s="248">
        <f t="shared" si="18"/>
        <v>7067.777</v>
      </c>
      <c r="M23" s="248">
        <f t="shared" si="19"/>
        <v>8595.5300000000007</v>
      </c>
      <c r="N23" s="248">
        <f t="shared" si="20"/>
        <v>0</v>
      </c>
      <c r="O23" s="248">
        <f>+'C&amp;A'!E23*0.02</f>
        <v>10.2256</v>
      </c>
      <c r="P23" s="248">
        <f t="shared" si="21"/>
        <v>8605.7556000000004</v>
      </c>
      <c r="Q23" s="248">
        <f t="shared" si="22"/>
        <v>1376.9208960000001</v>
      </c>
      <c r="R23" s="248">
        <f t="shared" si="23"/>
        <v>9982.676496</v>
      </c>
      <c r="S23" s="273">
        <f>+L23-'C&amp;A'!J23-SINDICATO!L23</f>
        <v>0</v>
      </c>
      <c r="T23" s="249">
        <f t="shared" ref="T23:T38" si="26">+L23-AR23</f>
        <v>0</v>
      </c>
      <c r="U23" s="133"/>
      <c r="V23" s="250" t="s">
        <v>186</v>
      </c>
      <c r="W23" s="250" t="s">
        <v>189</v>
      </c>
      <c r="X23" s="251">
        <v>10</v>
      </c>
      <c r="Y23" s="250" t="s">
        <v>188</v>
      </c>
      <c r="Z23" s="250"/>
      <c r="AA23" s="250"/>
      <c r="AB23" s="252">
        <v>511.28</v>
      </c>
      <c r="AC23" s="252">
        <v>1122.05</v>
      </c>
      <c r="AD23" s="252">
        <f t="shared" si="0"/>
        <v>1633.33</v>
      </c>
      <c r="AE23" s="253">
        <v>7007.35</v>
      </c>
      <c r="AF23" s="253">
        <v>0</v>
      </c>
      <c r="AG23" s="252"/>
      <c r="AH23" s="252"/>
      <c r="AI23" s="254">
        <v>45.15</v>
      </c>
      <c r="AJ23" s="255">
        <f t="shared" si="1"/>
        <v>8595.5300000000007</v>
      </c>
      <c r="AK23" s="252"/>
      <c r="AL23" s="256"/>
      <c r="AM23" s="256"/>
      <c r="AN23" s="252">
        <v>524.16999999999996</v>
      </c>
      <c r="AO23" s="252">
        <v>144.03</v>
      </c>
      <c r="AP23" s="255">
        <f t="shared" si="2"/>
        <v>7927.3300000000008</v>
      </c>
      <c r="AQ23" s="256">
        <f t="shared" si="3"/>
        <v>859.55300000000011</v>
      </c>
      <c r="AR23" s="255">
        <f t="shared" si="4"/>
        <v>7067.777000000001</v>
      </c>
      <c r="AS23" s="256">
        <f t="shared" si="5"/>
        <v>0</v>
      </c>
      <c r="AT23" s="256">
        <f t="shared" si="6"/>
        <v>10.2256</v>
      </c>
      <c r="AU23" s="255">
        <f t="shared" si="7"/>
        <v>8605.7556000000004</v>
      </c>
      <c r="AV23" s="257"/>
      <c r="AW23" s="257"/>
      <c r="AX23" s="258">
        <f t="shared" si="8"/>
        <v>-7067.777000000001</v>
      </c>
      <c r="AY23" s="257"/>
      <c r="AZ23" s="257"/>
      <c r="BA23" s="257"/>
      <c r="BB23" s="258">
        <f t="shared" si="9"/>
        <v>-7067.777000000001</v>
      </c>
      <c r="BC23" s="257" t="s">
        <v>266</v>
      </c>
      <c r="BD23" s="257"/>
      <c r="BE23" s="257"/>
      <c r="BF23" s="257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</row>
    <row r="24" spans="1:89" s="135" customFormat="1" hidden="1" x14ac:dyDescent="0.25">
      <c r="A24" s="246" t="s">
        <v>55</v>
      </c>
      <c r="B24" s="259" t="s">
        <v>112</v>
      </c>
      <c r="C24" s="248">
        <f t="shared" si="10"/>
        <v>577.35</v>
      </c>
      <c r="D24" s="248"/>
      <c r="E24" s="248">
        <f t="shared" si="11"/>
        <v>0</v>
      </c>
      <c r="F24" s="248">
        <f t="shared" si="12"/>
        <v>577.35</v>
      </c>
      <c r="G24" s="248">
        <f t="shared" si="13"/>
        <v>45.15</v>
      </c>
      <c r="H24" s="248">
        <f t="shared" si="14"/>
        <v>0</v>
      </c>
      <c r="I24" s="248">
        <f t="shared" si="15"/>
        <v>0</v>
      </c>
      <c r="J24" s="248">
        <f t="shared" si="16"/>
        <v>0</v>
      </c>
      <c r="K24" s="248">
        <f t="shared" si="17"/>
        <v>45.15</v>
      </c>
      <c r="L24" s="248">
        <f t="shared" si="18"/>
        <v>532.20000000000005</v>
      </c>
      <c r="M24" s="248">
        <f t="shared" si="19"/>
        <v>532.20000000000005</v>
      </c>
      <c r="N24" s="248">
        <f t="shared" si="20"/>
        <v>53.220000000000006</v>
      </c>
      <c r="O24" s="248">
        <f>+'C&amp;A'!E24*0.02</f>
        <v>9.3734000000000002</v>
      </c>
      <c r="P24" s="248">
        <f t="shared" si="21"/>
        <v>594.79340000000002</v>
      </c>
      <c r="Q24" s="248">
        <f t="shared" si="22"/>
        <v>95.166944000000001</v>
      </c>
      <c r="R24" s="248">
        <f t="shared" si="23"/>
        <v>689.96034400000008</v>
      </c>
      <c r="S24" s="273">
        <f>+L24-'C&amp;A'!J24-SINDICATO!L24</f>
        <v>2.1316282072803006E-14</v>
      </c>
      <c r="T24" s="249">
        <f t="shared" si="26"/>
        <v>0</v>
      </c>
      <c r="U24" s="133"/>
      <c r="V24" s="250" t="s">
        <v>186</v>
      </c>
      <c r="W24" s="250" t="s">
        <v>196</v>
      </c>
      <c r="X24" s="251" t="s">
        <v>55</v>
      </c>
      <c r="Y24" s="250" t="s">
        <v>48</v>
      </c>
      <c r="Z24" s="250"/>
      <c r="AA24" s="250"/>
      <c r="AB24" s="252">
        <v>577.35</v>
      </c>
      <c r="AC24" s="252"/>
      <c r="AD24" s="252">
        <f t="shared" si="0"/>
        <v>577.35</v>
      </c>
      <c r="AE24" s="260"/>
      <c r="AF24" s="260">
        <v>0</v>
      </c>
      <c r="AG24" s="252"/>
      <c r="AH24" s="252"/>
      <c r="AI24" s="254">
        <v>45.15</v>
      </c>
      <c r="AJ24" s="255">
        <f t="shared" si="1"/>
        <v>532.20000000000005</v>
      </c>
      <c r="AK24" s="252"/>
      <c r="AL24" s="256"/>
      <c r="AM24" s="256"/>
      <c r="AN24" s="252"/>
      <c r="AO24" s="252">
        <v>0</v>
      </c>
      <c r="AP24" s="255">
        <f t="shared" si="2"/>
        <v>532.20000000000005</v>
      </c>
      <c r="AQ24" s="256">
        <f t="shared" si="3"/>
        <v>0</v>
      </c>
      <c r="AR24" s="255">
        <f t="shared" si="4"/>
        <v>532.20000000000005</v>
      </c>
      <c r="AS24" s="256">
        <f t="shared" si="5"/>
        <v>53.220000000000006</v>
      </c>
      <c r="AT24" s="256">
        <f t="shared" si="6"/>
        <v>11.547000000000001</v>
      </c>
      <c r="AU24" s="255">
        <f t="shared" si="7"/>
        <v>596.9670000000001</v>
      </c>
      <c r="AV24" s="257"/>
      <c r="AW24" s="257"/>
      <c r="AX24" s="258">
        <f t="shared" si="8"/>
        <v>-532.20000000000005</v>
      </c>
      <c r="AY24" s="257"/>
      <c r="AZ24" s="257"/>
      <c r="BA24" s="257"/>
      <c r="BB24" s="258">
        <f t="shared" si="9"/>
        <v>-532.20000000000005</v>
      </c>
      <c r="BC24" s="257" t="s">
        <v>267</v>
      </c>
      <c r="BD24" s="257"/>
      <c r="BE24" s="257"/>
      <c r="BF24" s="257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</row>
    <row r="25" spans="1:89" s="135" customFormat="1" hidden="1" x14ac:dyDescent="0.25">
      <c r="A25" s="246" t="s">
        <v>53</v>
      </c>
      <c r="B25" s="259" t="s">
        <v>100</v>
      </c>
      <c r="C25" s="248">
        <f t="shared" si="10"/>
        <v>511.28</v>
      </c>
      <c r="D25" s="248">
        <v>66.069999999999993</v>
      </c>
      <c r="E25" s="248">
        <f t="shared" si="11"/>
        <v>0</v>
      </c>
      <c r="F25" s="248">
        <f t="shared" si="12"/>
        <v>577.34999999999991</v>
      </c>
      <c r="G25" s="248">
        <f t="shared" si="13"/>
        <v>45.15</v>
      </c>
      <c r="H25" s="248">
        <f t="shared" si="14"/>
        <v>0</v>
      </c>
      <c r="I25" s="248">
        <f t="shared" si="15"/>
        <v>0</v>
      </c>
      <c r="J25" s="248">
        <f t="shared" si="16"/>
        <v>0</v>
      </c>
      <c r="K25" s="248">
        <f t="shared" si="17"/>
        <v>45.15</v>
      </c>
      <c r="L25" s="248">
        <f t="shared" si="18"/>
        <v>532.19999999999993</v>
      </c>
      <c r="M25" s="248">
        <f t="shared" si="19"/>
        <v>532.19999999999993</v>
      </c>
      <c r="N25" s="248">
        <f t="shared" si="20"/>
        <v>46.613</v>
      </c>
      <c r="O25" s="248">
        <f>+'C&amp;A'!E25*0.02</f>
        <v>9.3734000000000002</v>
      </c>
      <c r="P25" s="248">
        <f t="shared" si="21"/>
        <v>588.18639999999982</v>
      </c>
      <c r="Q25" s="248">
        <f t="shared" si="22"/>
        <v>94.109823999999975</v>
      </c>
      <c r="R25" s="248">
        <f t="shared" si="23"/>
        <v>682.29622399999982</v>
      </c>
      <c r="S25" s="273">
        <f>+L25-'C&amp;A'!J25-SINDICATO!L25</f>
        <v>2.1316282072803006E-14</v>
      </c>
      <c r="T25" s="249">
        <f t="shared" si="26"/>
        <v>66.069999999999936</v>
      </c>
      <c r="U25" s="133"/>
      <c r="V25" s="250" t="s">
        <v>186</v>
      </c>
      <c r="W25" s="250" t="s">
        <v>195</v>
      </c>
      <c r="X25" s="251" t="s">
        <v>53</v>
      </c>
      <c r="Y25" s="250" t="s">
        <v>48</v>
      </c>
      <c r="Z25" s="250"/>
      <c r="AA25" s="250"/>
      <c r="AB25" s="252">
        <v>511.28</v>
      </c>
      <c r="AC25" s="252">
        <v>0</v>
      </c>
      <c r="AD25" s="252">
        <f t="shared" si="0"/>
        <v>511.28</v>
      </c>
      <c r="AE25" s="252"/>
      <c r="AF25" s="252">
        <v>0</v>
      </c>
      <c r="AG25" s="252"/>
      <c r="AH25" s="252"/>
      <c r="AI25" s="254">
        <v>45.15</v>
      </c>
      <c r="AJ25" s="255">
        <f t="shared" si="1"/>
        <v>466.13</v>
      </c>
      <c r="AK25" s="252"/>
      <c r="AL25" s="256"/>
      <c r="AM25" s="256"/>
      <c r="AN25" s="252"/>
      <c r="AO25" s="252">
        <v>0</v>
      </c>
      <c r="AP25" s="255">
        <f t="shared" si="2"/>
        <v>466.13</v>
      </c>
      <c r="AQ25" s="256">
        <f t="shared" si="3"/>
        <v>0</v>
      </c>
      <c r="AR25" s="255">
        <f t="shared" si="4"/>
        <v>466.13</v>
      </c>
      <c r="AS25" s="256">
        <f t="shared" si="5"/>
        <v>46.613</v>
      </c>
      <c r="AT25" s="256">
        <f t="shared" si="6"/>
        <v>10.2256</v>
      </c>
      <c r="AU25" s="255">
        <f t="shared" si="7"/>
        <v>522.96859999999992</v>
      </c>
      <c r="AV25" s="257"/>
      <c r="AW25" s="257"/>
      <c r="AX25" s="258">
        <f t="shared" si="8"/>
        <v>-466.13</v>
      </c>
      <c r="AY25" s="257"/>
      <c r="AZ25" s="257"/>
      <c r="BA25" s="257"/>
      <c r="BB25" s="258">
        <f t="shared" si="9"/>
        <v>-466.13</v>
      </c>
      <c r="BC25" s="257" t="s">
        <v>268</v>
      </c>
      <c r="BD25" s="257"/>
      <c r="BE25" s="257"/>
      <c r="BF25" s="257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</row>
    <row r="26" spans="1:89" s="135" customFormat="1" hidden="1" x14ac:dyDescent="0.25">
      <c r="A26" s="246" t="s">
        <v>54</v>
      </c>
      <c r="B26" s="259" t="s">
        <v>107</v>
      </c>
      <c r="C26" s="248">
        <f t="shared" si="10"/>
        <v>511.28</v>
      </c>
      <c r="D26" s="248">
        <v>0</v>
      </c>
      <c r="E26" s="248">
        <f t="shared" si="11"/>
        <v>4282.51</v>
      </c>
      <c r="F26" s="248">
        <f t="shared" si="12"/>
        <v>4793.79</v>
      </c>
      <c r="G26" s="248">
        <f t="shared" si="13"/>
        <v>45.15</v>
      </c>
      <c r="H26" s="248">
        <f t="shared" si="14"/>
        <v>0</v>
      </c>
      <c r="I26" s="248">
        <f t="shared" si="15"/>
        <v>0</v>
      </c>
      <c r="J26" s="248">
        <f t="shared" si="16"/>
        <v>474.86400000000003</v>
      </c>
      <c r="K26" s="248">
        <f t="shared" si="17"/>
        <v>520.01400000000001</v>
      </c>
      <c r="L26" s="248">
        <f t="shared" si="18"/>
        <v>4273.7759999999998</v>
      </c>
      <c r="M26" s="248">
        <f t="shared" si="19"/>
        <v>4748.6400000000003</v>
      </c>
      <c r="N26" s="248">
        <f t="shared" si="20"/>
        <v>0</v>
      </c>
      <c r="O26" s="248">
        <f>+'C&amp;A'!E26*0.02</f>
        <v>10.2256</v>
      </c>
      <c r="P26" s="248">
        <f t="shared" si="21"/>
        <v>4758.8656000000001</v>
      </c>
      <c r="Q26" s="248">
        <f t="shared" si="22"/>
        <v>761.418496</v>
      </c>
      <c r="R26" s="248">
        <f t="shared" si="23"/>
        <v>5520.2840960000003</v>
      </c>
      <c r="S26" s="273">
        <f>+L26-'C&amp;A'!J26-SINDICATO!L26</f>
        <v>0</v>
      </c>
      <c r="T26" s="249">
        <f t="shared" si="26"/>
        <v>0</v>
      </c>
      <c r="U26" s="133"/>
      <c r="V26" s="250" t="s">
        <v>186</v>
      </c>
      <c r="W26" s="250" t="s">
        <v>269</v>
      </c>
      <c r="X26" s="251" t="s">
        <v>54</v>
      </c>
      <c r="Y26" s="250" t="s">
        <v>48</v>
      </c>
      <c r="Z26" s="250"/>
      <c r="AA26" s="250"/>
      <c r="AB26" s="252">
        <v>511.28</v>
      </c>
      <c r="AC26" s="252">
        <v>0</v>
      </c>
      <c r="AD26" s="252">
        <f t="shared" si="0"/>
        <v>511.28</v>
      </c>
      <c r="AE26" s="261">
        <v>4282.51</v>
      </c>
      <c r="AF26" s="261">
        <v>0</v>
      </c>
      <c r="AG26" s="252"/>
      <c r="AH26" s="252"/>
      <c r="AI26" s="254">
        <v>45.15</v>
      </c>
      <c r="AJ26" s="255">
        <f t="shared" si="1"/>
        <v>4748.6400000000003</v>
      </c>
      <c r="AK26" s="252"/>
      <c r="AL26" s="256"/>
      <c r="AM26" s="256"/>
      <c r="AN26" s="252"/>
      <c r="AO26" s="252">
        <v>0</v>
      </c>
      <c r="AP26" s="255">
        <f t="shared" si="2"/>
        <v>4748.6400000000003</v>
      </c>
      <c r="AQ26" s="256">
        <f t="shared" si="3"/>
        <v>474.86400000000003</v>
      </c>
      <c r="AR26" s="255">
        <f t="shared" si="4"/>
        <v>4273.7759999999998</v>
      </c>
      <c r="AS26" s="256">
        <f t="shared" si="5"/>
        <v>0</v>
      </c>
      <c r="AT26" s="256">
        <f t="shared" si="6"/>
        <v>10.2256</v>
      </c>
      <c r="AU26" s="255">
        <f t="shared" si="7"/>
        <v>4758.8656000000001</v>
      </c>
      <c r="AV26" s="257"/>
      <c r="AW26" s="257"/>
      <c r="AX26" s="258">
        <f t="shared" si="8"/>
        <v>-4273.7759999999998</v>
      </c>
      <c r="AY26" s="257"/>
      <c r="AZ26" s="257"/>
      <c r="BA26" s="257"/>
      <c r="BB26" s="258">
        <f t="shared" si="9"/>
        <v>-4273.7759999999998</v>
      </c>
      <c r="BC26" s="257" t="s">
        <v>270</v>
      </c>
      <c r="BD26" s="257"/>
      <c r="BE26" s="257"/>
      <c r="BF26" s="257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</row>
    <row r="27" spans="1:89" s="135" customFormat="1" x14ac:dyDescent="0.25">
      <c r="A27" s="246" t="s">
        <v>83</v>
      </c>
      <c r="B27" s="268" t="s">
        <v>37</v>
      </c>
      <c r="C27" s="248">
        <f t="shared" si="10"/>
        <v>1166.6600000000001</v>
      </c>
      <c r="D27" s="248">
        <v>0</v>
      </c>
      <c r="E27" s="248">
        <f t="shared" si="11"/>
        <v>1173.23</v>
      </c>
      <c r="F27" s="248">
        <f t="shared" si="12"/>
        <v>2339.8900000000003</v>
      </c>
      <c r="G27" s="248">
        <f t="shared" si="13"/>
        <v>45.15</v>
      </c>
      <c r="H27" s="248">
        <f t="shared" si="14"/>
        <v>0</v>
      </c>
      <c r="I27" s="248">
        <f t="shared" si="15"/>
        <v>89.36</v>
      </c>
      <c r="J27" s="248">
        <f t="shared" si="16"/>
        <v>0</v>
      </c>
      <c r="K27" s="248">
        <f t="shared" si="17"/>
        <v>134.51</v>
      </c>
      <c r="L27" s="248">
        <f t="shared" si="18"/>
        <v>2205.38</v>
      </c>
      <c r="M27" s="248">
        <f t="shared" si="19"/>
        <v>2294.7400000000002</v>
      </c>
      <c r="N27" s="248">
        <f t="shared" si="20"/>
        <v>229.47400000000005</v>
      </c>
      <c r="O27" s="248">
        <f>+'C&amp;A'!E27*0.02</f>
        <v>10.2256</v>
      </c>
      <c r="P27" s="248">
        <f t="shared" si="21"/>
        <v>2534.4396000000006</v>
      </c>
      <c r="Q27" s="248">
        <f t="shared" si="22"/>
        <v>405.51033600000011</v>
      </c>
      <c r="R27" s="248">
        <f t="shared" si="23"/>
        <v>2939.9499360000009</v>
      </c>
      <c r="S27" s="273">
        <f>+L27-'C&amp;A'!J27-SINDICATO!L27</f>
        <v>0</v>
      </c>
      <c r="T27" s="249">
        <f t="shared" si="26"/>
        <v>0</v>
      </c>
      <c r="U27" s="133"/>
      <c r="V27" s="250" t="s">
        <v>178</v>
      </c>
      <c r="W27" s="250" t="s">
        <v>179</v>
      </c>
      <c r="X27" s="251">
        <v>21</v>
      </c>
      <c r="Y27" s="250" t="s">
        <v>47</v>
      </c>
      <c r="Z27" s="250"/>
      <c r="AA27" s="250"/>
      <c r="AB27" s="252">
        <v>511.28</v>
      </c>
      <c r="AC27" s="252">
        <v>655.38000000000011</v>
      </c>
      <c r="AD27" s="252">
        <f t="shared" si="0"/>
        <v>1166.6600000000001</v>
      </c>
      <c r="AE27" s="253">
        <v>1173.23</v>
      </c>
      <c r="AF27" s="253">
        <v>0</v>
      </c>
      <c r="AG27" s="252"/>
      <c r="AH27" s="252"/>
      <c r="AI27" s="254">
        <v>45.15</v>
      </c>
      <c r="AJ27" s="255">
        <f t="shared" si="1"/>
        <v>2294.7400000000002</v>
      </c>
      <c r="AK27" s="252"/>
      <c r="AL27" s="256"/>
      <c r="AM27" s="256"/>
      <c r="AN27" s="252"/>
      <c r="AO27" s="252">
        <v>89.36</v>
      </c>
      <c r="AP27" s="255">
        <f t="shared" si="2"/>
        <v>2205.38</v>
      </c>
      <c r="AQ27" s="256">
        <f t="shared" si="3"/>
        <v>0</v>
      </c>
      <c r="AR27" s="255">
        <f t="shared" si="4"/>
        <v>2205.38</v>
      </c>
      <c r="AS27" s="256">
        <f t="shared" si="5"/>
        <v>229.47400000000005</v>
      </c>
      <c r="AT27" s="256">
        <f t="shared" si="6"/>
        <v>10.2256</v>
      </c>
      <c r="AU27" s="255">
        <f t="shared" si="7"/>
        <v>2534.4396000000006</v>
      </c>
      <c r="AV27" s="257"/>
      <c r="AW27" s="257"/>
      <c r="AX27" s="258">
        <f t="shared" si="8"/>
        <v>-2205.38</v>
      </c>
      <c r="AY27" s="257"/>
      <c r="AZ27" s="257"/>
      <c r="BA27" s="257"/>
      <c r="BB27" s="258">
        <f t="shared" si="9"/>
        <v>-2205.38</v>
      </c>
      <c r="BC27" s="257" t="s">
        <v>272</v>
      </c>
      <c r="BD27" s="257"/>
      <c r="BE27" s="257"/>
      <c r="BF27" s="257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</row>
    <row r="28" spans="1:89" s="135" customFormat="1" hidden="1" x14ac:dyDescent="0.25">
      <c r="A28" s="246" t="s">
        <v>85</v>
      </c>
      <c r="B28" s="247" t="s">
        <v>58</v>
      </c>
      <c r="C28" s="248">
        <f t="shared" si="10"/>
        <v>511.28</v>
      </c>
      <c r="D28" s="248">
        <v>0</v>
      </c>
      <c r="E28" s="248">
        <f t="shared" si="11"/>
        <v>6141.53</v>
      </c>
      <c r="F28" s="248">
        <f t="shared" si="12"/>
        <v>6652.8099999999995</v>
      </c>
      <c r="G28" s="248">
        <f t="shared" si="13"/>
        <v>45.15</v>
      </c>
      <c r="H28" s="248">
        <f t="shared" si="14"/>
        <v>0</v>
      </c>
      <c r="I28" s="248">
        <f t="shared" si="15"/>
        <v>0</v>
      </c>
      <c r="J28" s="248">
        <f t="shared" si="16"/>
        <v>660.76600000000008</v>
      </c>
      <c r="K28" s="248">
        <f t="shared" si="17"/>
        <v>705.91600000000005</v>
      </c>
      <c r="L28" s="248">
        <f t="shared" si="18"/>
        <v>5946.8939999999993</v>
      </c>
      <c r="M28" s="248">
        <f t="shared" si="19"/>
        <v>6607.66</v>
      </c>
      <c r="N28" s="248">
        <f t="shared" si="20"/>
        <v>0</v>
      </c>
      <c r="O28" s="248">
        <f>+'C&amp;A'!E28*0.02</f>
        <v>10.2256</v>
      </c>
      <c r="P28" s="248">
        <f t="shared" si="21"/>
        <v>6617.8855999999996</v>
      </c>
      <c r="Q28" s="248">
        <f t="shared" si="22"/>
        <v>1058.8616959999999</v>
      </c>
      <c r="R28" s="248">
        <f t="shared" si="23"/>
        <v>7676.7472959999996</v>
      </c>
      <c r="S28" s="273">
        <f>+L28-'C&amp;A'!J28-SINDICATO!L28</f>
        <v>0</v>
      </c>
      <c r="T28" s="249">
        <f t="shared" si="26"/>
        <v>0</v>
      </c>
      <c r="U28" s="133"/>
      <c r="V28" s="250" t="s">
        <v>186</v>
      </c>
      <c r="W28" s="250" t="s">
        <v>198</v>
      </c>
      <c r="X28" s="251" t="s">
        <v>57</v>
      </c>
      <c r="Y28" s="250" t="s">
        <v>48</v>
      </c>
      <c r="Z28" s="250"/>
      <c r="AA28" s="250"/>
      <c r="AB28" s="252">
        <v>511.28</v>
      </c>
      <c r="AC28" s="252">
        <v>0</v>
      </c>
      <c r="AD28" s="252">
        <f t="shared" si="0"/>
        <v>511.28</v>
      </c>
      <c r="AE28" s="260">
        <v>6141.53</v>
      </c>
      <c r="AF28" s="260">
        <v>0</v>
      </c>
      <c r="AG28" s="252"/>
      <c r="AH28" s="252"/>
      <c r="AI28" s="254">
        <v>45.15</v>
      </c>
      <c r="AJ28" s="255">
        <f t="shared" si="1"/>
        <v>6607.66</v>
      </c>
      <c r="AK28" s="252"/>
      <c r="AL28" s="256"/>
      <c r="AM28" s="256"/>
      <c r="AN28" s="252"/>
      <c r="AO28" s="252">
        <v>0</v>
      </c>
      <c r="AP28" s="255">
        <f t="shared" si="2"/>
        <v>6607.66</v>
      </c>
      <c r="AQ28" s="256">
        <f t="shared" si="3"/>
        <v>660.76600000000008</v>
      </c>
      <c r="AR28" s="255">
        <f t="shared" si="4"/>
        <v>5946.8940000000002</v>
      </c>
      <c r="AS28" s="256">
        <f t="shared" si="5"/>
        <v>0</v>
      </c>
      <c r="AT28" s="256">
        <f t="shared" si="6"/>
        <v>10.2256</v>
      </c>
      <c r="AU28" s="255">
        <f t="shared" si="7"/>
        <v>6617.8855999999996</v>
      </c>
      <c r="AV28" s="257"/>
      <c r="AW28" s="257"/>
      <c r="AX28" s="258">
        <f t="shared" si="8"/>
        <v>-5946.8940000000002</v>
      </c>
      <c r="AY28" s="257"/>
      <c r="AZ28" s="257"/>
      <c r="BA28" s="257"/>
      <c r="BB28" s="258">
        <f t="shared" si="9"/>
        <v>-5946.8940000000002</v>
      </c>
      <c r="BC28" s="257" t="s">
        <v>273</v>
      </c>
      <c r="BD28" s="257"/>
      <c r="BE28" s="257"/>
      <c r="BF28" s="257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</row>
    <row r="29" spans="1:89" s="135" customFormat="1" hidden="1" x14ac:dyDescent="0.25">
      <c r="A29" s="246" t="s">
        <v>56</v>
      </c>
      <c r="B29" s="259" t="s">
        <v>106</v>
      </c>
      <c r="C29" s="248">
        <f t="shared" si="10"/>
        <v>584.31999999999994</v>
      </c>
      <c r="D29" s="248">
        <v>0</v>
      </c>
      <c r="E29" s="248">
        <f t="shared" si="11"/>
        <v>0</v>
      </c>
      <c r="F29" s="248">
        <f t="shared" si="12"/>
        <v>584.31999999999994</v>
      </c>
      <c r="G29" s="248">
        <f t="shared" si="13"/>
        <v>45.15</v>
      </c>
      <c r="H29" s="248">
        <f t="shared" si="14"/>
        <v>0</v>
      </c>
      <c r="I29" s="248">
        <f t="shared" si="15"/>
        <v>0</v>
      </c>
      <c r="J29" s="248">
        <f t="shared" si="16"/>
        <v>0</v>
      </c>
      <c r="K29" s="248">
        <f t="shared" si="17"/>
        <v>45.15</v>
      </c>
      <c r="L29" s="248">
        <f t="shared" si="18"/>
        <v>539.16999999999996</v>
      </c>
      <c r="M29" s="248">
        <f t="shared" si="19"/>
        <v>539.16999999999996</v>
      </c>
      <c r="N29" s="248">
        <f t="shared" si="20"/>
        <v>53.917000000000002</v>
      </c>
      <c r="O29" s="248">
        <f>+'C&amp;A'!E29*0.02</f>
        <v>9.3734000000000002</v>
      </c>
      <c r="P29" s="248">
        <f t="shared" si="21"/>
        <v>602.46039999999994</v>
      </c>
      <c r="Q29" s="248">
        <f t="shared" si="22"/>
        <v>96.393663999999987</v>
      </c>
      <c r="R29" s="248">
        <f t="shared" si="23"/>
        <v>698.85406399999988</v>
      </c>
      <c r="S29" s="273">
        <f>+L29-'C&amp;A'!J29-SINDICATO!L29</f>
        <v>2.1316282072803006E-14</v>
      </c>
      <c r="T29" s="249">
        <f t="shared" si="26"/>
        <v>0</v>
      </c>
      <c r="U29" s="133"/>
      <c r="V29" s="250" t="s">
        <v>186</v>
      </c>
      <c r="W29" s="250" t="s">
        <v>197</v>
      </c>
      <c r="X29" s="251" t="s">
        <v>56</v>
      </c>
      <c r="Y29" s="250" t="s">
        <v>48</v>
      </c>
      <c r="Z29" s="250"/>
      <c r="AA29" s="250"/>
      <c r="AB29" s="252">
        <v>511.28</v>
      </c>
      <c r="AC29" s="252">
        <v>73.039999999999964</v>
      </c>
      <c r="AD29" s="252">
        <f t="shared" si="0"/>
        <v>584.31999999999994</v>
      </c>
      <c r="AE29" s="269"/>
      <c r="AF29" s="269">
        <v>0</v>
      </c>
      <c r="AG29" s="252"/>
      <c r="AH29" s="252"/>
      <c r="AI29" s="254">
        <v>45.15</v>
      </c>
      <c r="AJ29" s="255">
        <f t="shared" si="1"/>
        <v>539.16999999999996</v>
      </c>
      <c r="AK29" s="252"/>
      <c r="AL29" s="256"/>
      <c r="AM29" s="256"/>
      <c r="AN29" s="252"/>
      <c r="AO29" s="252">
        <v>0</v>
      </c>
      <c r="AP29" s="255">
        <f t="shared" si="2"/>
        <v>539.16999999999996</v>
      </c>
      <c r="AQ29" s="256">
        <f t="shared" si="3"/>
        <v>0</v>
      </c>
      <c r="AR29" s="255">
        <f t="shared" si="4"/>
        <v>539.16999999999996</v>
      </c>
      <c r="AS29" s="256">
        <f t="shared" si="5"/>
        <v>53.917000000000002</v>
      </c>
      <c r="AT29" s="256">
        <f t="shared" si="6"/>
        <v>10.2256</v>
      </c>
      <c r="AU29" s="255">
        <f t="shared" si="7"/>
        <v>603.31259999999997</v>
      </c>
      <c r="AV29" s="257"/>
      <c r="AW29" s="257"/>
      <c r="AX29" s="258">
        <f t="shared" si="8"/>
        <v>-539.16999999999996</v>
      </c>
      <c r="AY29" s="257"/>
      <c r="AZ29" s="257"/>
      <c r="BA29" s="257"/>
      <c r="BB29" s="258">
        <f t="shared" si="9"/>
        <v>-539.16999999999996</v>
      </c>
      <c r="BC29" s="257" t="s">
        <v>274</v>
      </c>
      <c r="BD29" s="257"/>
      <c r="BE29" s="257"/>
      <c r="BF29" s="257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</row>
    <row r="30" spans="1:89" s="135" customFormat="1" x14ac:dyDescent="0.25">
      <c r="A30" s="246" t="s">
        <v>88</v>
      </c>
      <c r="B30" s="247" t="s">
        <v>113</v>
      </c>
      <c r="C30" s="248">
        <f t="shared" si="10"/>
        <v>1166.67</v>
      </c>
      <c r="D30" s="248">
        <v>0</v>
      </c>
      <c r="E30" s="248">
        <f t="shared" si="11"/>
        <v>1840.8</v>
      </c>
      <c r="F30" s="248">
        <f t="shared" si="12"/>
        <v>3007.4700000000003</v>
      </c>
      <c r="G30" s="248">
        <f t="shared" si="13"/>
        <v>45.15</v>
      </c>
      <c r="H30" s="248">
        <f t="shared" si="14"/>
        <v>0</v>
      </c>
      <c r="I30" s="248">
        <f t="shared" si="15"/>
        <v>0</v>
      </c>
      <c r="J30" s="248">
        <f t="shared" si="16"/>
        <v>0</v>
      </c>
      <c r="K30" s="248">
        <f t="shared" si="17"/>
        <v>45.15</v>
      </c>
      <c r="L30" s="248">
        <f t="shared" si="18"/>
        <v>2962.32</v>
      </c>
      <c r="M30" s="248">
        <f t="shared" si="19"/>
        <v>2962.32</v>
      </c>
      <c r="N30" s="248">
        <f t="shared" si="20"/>
        <v>296.23200000000003</v>
      </c>
      <c r="O30" s="248">
        <f>+'C&amp;A'!E30*0.02</f>
        <v>10.2256</v>
      </c>
      <c r="P30" s="248">
        <f t="shared" si="21"/>
        <v>3268.7776000000003</v>
      </c>
      <c r="Q30" s="248">
        <f t="shared" si="22"/>
        <v>523.00441600000011</v>
      </c>
      <c r="R30" s="248">
        <f t="shared" si="23"/>
        <v>3791.7820160000006</v>
      </c>
      <c r="S30" s="273">
        <f>+L30-'C&amp;A'!J30-SINDICATO!L30</f>
        <v>0</v>
      </c>
      <c r="T30" s="249">
        <f t="shared" si="26"/>
        <v>0</v>
      </c>
      <c r="U30" s="133"/>
      <c r="V30" s="250" t="s">
        <v>178</v>
      </c>
      <c r="W30" s="250" t="s">
        <v>113</v>
      </c>
      <c r="X30" s="251" t="s">
        <v>39</v>
      </c>
      <c r="Y30" s="250" t="s">
        <v>47</v>
      </c>
      <c r="Z30" s="250"/>
      <c r="AA30" s="250"/>
      <c r="AB30" s="252">
        <v>511.28</v>
      </c>
      <c r="AC30" s="252">
        <v>655.3900000000001</v>
      </c>
      <c r="AD30" s="252">
        <f t="shared" si="0"/>
        <v>1166.67</v>
      </c>
      <c r="AE30" s="253">
        <v>1840.8</v>
      </c>
      <c r="AF30" s="253">
        <v>0</v>
      </c>
      <c r="AG30" s="252"/>
      <c r="AH30" s="252"/>
      <c r="AI30" s="254">
        <v>45.15</v>
      </c>
      <c r="AJ30" s="255">
        <f t="shared" si="1"/>
        <v>2962.32</v>
      </c>
      <c r="AK30" s="252"/>
      <c r="AL30" s="256"/>
      <c r="AM30" s="256"/>
      <c r="AN30" s="252"/>
      <c r="AO30" s="252">
        <v>0</v>
      </c>
      <c r="AP30" s="255">
        <f t="shared" si="2"/>
        <v>2962.32</v>
      </c>
      <c r="AQ30" s="256">
        <f t="shared" si="3"/>
        <v>0</v>
      </c>
      <c r="AR30" s="255">
        <f t="shared" si="4"/>
        <v>2962.32</v>
      </c>
      <c r="AS30" s="256">
        <f t="shared" si="5"/>
        <v>296.23200000000003</v>
      </c>
      <c r="AT30" s="256">
        <f t="shared" si="6"/>
        <v>10.2256</v>
      </c>
      <c r="AU30" s="255">
        <f t="shared" si="7"/>
        <v>3268.7776000000003</v>
      </c>
      <c r="AV30" s="257"/>
      <c r="AW30" s="257"/>
      <c r="AX30" s="258">
        <f t="shared" si="8"/>
        <v>-2962.32</v>
      </c>
      <c r="AY30" s="257"/>
      <c r="AZ30" s="257"/>
      <c r="BA30" s="257"/>
      <c r="BB30" s="258">
        <f t="shared" si="9"/>
        <v>-2962.32</v>
      </c>
      <c r="BC30" s="257" t="s">
        <v>278</v>
      </c>
      <c r="BD30" s="257"/>
      <c r="BE30" s="257"/>
      <c r="BF30" s="257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</row>
    <row r="31" spans="1:89" s="135" customFormat="1" hidden="1" x14ac:dyDescent="0.25">
      <c r="A31" s="246" t="s">
        <v>59</v>
      </c>
      <c r="B31" s="259" t="s">
        <v>33</v>
      </c>
      <c r="C31" s="248">
        <f t="shared" si="10"/>
        <v>700</v>
      </c>
      <c r="D31" s="248">
        <v>0</v>
      </c>
      <c r="E31" s="248">
        <f t="shared" si="11"/>
        <v>1200</v>
      </c>
      <c r="F31" s="248">
        <f t="shared" si="12"/>
        <v>1900</v>
      </c>
      <c r="G31" s="248">
        <f t="shared" si="13"/>
        <v>45.15</v>
      </c>
      <c r="H31" s="248">
        <f t="shared" si="14"/>
        <v>0</v>
      </c>
      <c r="I31" s="248">
        <f t="shared" si="15"/>
        <v>0</v>
      </c>
      <c r="J31" s="248">
        <f t="shared" si="16"/>
        <v>0</v>
      </c>
      <c r="K31" s="248">
        <f t="shared" si="17"/>
        <v>45.15</v>
      </c>
      <c r="L31" s="248">
        <f t="shared" si="18"/>
        <v>1854.85</v>
      </c>
      <c r="M31" s="248">
        <f t="shared" si="19"/>
        <v>1854.85</v>
      </c>
      <c r="N31" s="248">
        <f t="shared" si="20"/>
        <v>185.48500000000001</v>
      </c>
      <c r="O31" s="248">
        <f>+'C&amp;A'!E31*0.02</f>
        <v>10.2256</v>
      </c>
      <c r="P31" s="248">
        <f t="shared" si="21"/>
        <v>2050.5606000000002</v>
      </c>
      <c r="Q31" s="248">
        <f t="shared" si="22"/>
        <v>328.08969600000006</v>
      </c>
      <c r="R31" s="248">
        <f t="shared" si="23"/>
        <v>2378.6502960000003</v>
      </c>
      <c r="S31" s="273">
        <f>+L31-'C&amp;A'!J31-SINDICATO!L31</f>
        <v>0</v>
      </c>
      <c r="T31" s="249">
        <f t="shared" si="26"/>
        <v>0</v>
      </c>
      <c r="U31" s="133"/>
      <c r="V31" s="250" t="s">
        <v>186</v>
      </c>
      <c r="W31" s="250" t="s">
        <v>33</v>
      </c>
      <c r="X31" s="251" t="s">
        <v>59</v>
      </c>
      <c r="Y31" s="250" t="s">
        <v>48</v>
      </c>
      <c r="Z31" s="250"/>
      <c r="AA31" s="250"/>
      <c r="AB31" s="252">
        <v>511.28</v>
      </c>
      <c r="AC31" s="252">
        <v>188.72000000000003</v>
      </c>
      <c r="AD31" s="252">
        <f t="shared" si="0"/>
        <v>700</v>
      </c>
      <c r="AE31" s="261">
        <v>1200</v>
      </c>
      <c r="AF31" s="261">
        <v>0</v>
      </c>
      <c r="AG31" s="252"/>
      <c r="AH31" s="252"/>
      <c r="AI31" s="254">
        <v>45.15</v>
      </c>
      <c r="AJ31" s="255">
        <f t="shared" si="1"/>
        <v>1854.85</v>
      </c>
      <c r="AK31" s="252"/>
      <c r="AL31" s="256"/>
      <c r="AM31" s="256"/>
      <c r="AN31" s="252"/>
      <c r="AO31" s="252">
        <v>0</v>
      </c>
      <c r="AP31" s="255">
        <f t="shared" si="2"/>
        <v>1854.85</v>
      </c>
      <c r="AQ31" s="256">
        <f t="shared" si="3"/>
        <v>0</v>
      </c>
      <c r="AR31" s="255">
        <f t="shared" si="4"/>
        <v>1854.85</v>
      </c>
      <c r="AS31" s="256">
        <f t="shared" si="5"/>
        <v>185.48500000000001</v>
      </c>
      <c r="AT31" s="256">
        <f t="shared" si="6"/>
        <v>10.2256</v>
      </c>
      <c r="AU31" s="255">
        <f t="shared" si="7"/>
        <v>2050.5606000000002</v>
      </c>
      <c r="AV31" s="257"/>
      <c r="AW31" s="257"/>
      <c r="AX31" s="258">
        <f t="shared" si="8"/>
        <v>-1854.85</v>
      </c>
      <c r="AY31" s="257"/>
      <c r="AZ31" s="257"/>
      <c r="BA31" s="257"/>
      <c r="BB31" s="258">
        <f t="shared" si="9"/>
        <v>-1854.85</v>
      </c>
      <c r="BC31" s="257" t="s">
        <v>279</v>
      </c>
      <c r="BD31" s="257"/>
      <c r="BE31" s="257"/>
      <c r="BF31" s="257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</row>
    <row r="32" spans="1:89" s="135" customFormat="1" hidden="1" x14ac:dyDescent="0.25">
      <c r="A32" s="246" t="s">
        <v>294</v>
      </c>
      <c r="B32" s="259" t="s">
        <v>295</v>
      </c>
      <c r="C32" s="248">
        <f t="shared" si="10"/>
        <v>700</v>
      </c>
      <c r="D32" s="248"/>
      <c r="E32" s="248">
        <f t="shared" si="11"/>
        <v>0</v>
      </c>
      <c r="F32" s="248">
        <f t="shared" si="12"/>
        <v>700</v>
      </c>
      <c r="G32" s="248">
        <f t="shared" si="13"/>
        <v>45.15</v>
      </c>
      <c r="H32" s="248">
        <f t="shared" si="14"/>
        <v>0</v>
      </c>
      <c r="I32" s="248">
        <f t="shared" si="15"/>
        <v>0</v>
      </c>
      <c r="J32" s="248">
        <f t="shared" si="16"/>
        <v>0</v>
      </c>
      <c r="K32" s="248">
        <f t="shared" si="17"/>
        <v>45.15</v>
      </c>
      <c r="L32" s="248">
        <f t="shared" si="18"/>
        <v>654.85</v>
      </c>
      <c r="M32" s="248">
        <f t="shared" si="19"/>
        <v>654.85</v>
      </c>
      <c r="N32" s="248">
        <f t="shared" si="20"/>
        <v>65.484999999999999</v>
      </c>
      <c r="O32" s="248">
        <f>+'C&amp;A'!E32*0.02</f>
        <v>10.2256</v>
      </c>
      <c r="P32" s="248">
        <f t="shared" si="21"/>
        <v>730.56060000000002</v>
      </c>
      <c r="Q32" s="248">
        <f t="shared" si="22"/>
        <v>116.889696</v>
      </c>
      <c r="R32" s="248">
        <f t="shared" si="23"/>
        <v>847.45029599999998</v>
      </c>
      <c r="S32" s="273">
        <f>+L32-'C&amp;A'!J32-SINDICATO!L32</f>
        <v>0</v>
      </c>
      <c r="T32" s="249">
        <f t="shared" si="26"/>
        <v>0</v>
      </c>
      <c r="U32" s="133"/>
      <c r="V32" s="250" t="s">
        <v>186</v>
      </c>
      <c r="W32" s="250" t="s">
        <v>280</v>
      </c>
      <c r="X32" s="251"/>
      <c r="Y32" s="250" t="s">
        <v>48</v>
      </c>
      <c r="Z32" s="250"/>
      <c r="AA32" s="250"/>
      <c r="AB32" s="252">
        <v>511.28</v>
      </c>
      <c r="AC32" s="252">
        <v>188.72000000000003</v>
      </c>
      <c r="AD32" s="252">
        <f t="shared" si="0"/>
        <v>700</v>
      </c>
      <c r="AE32" s="252"/>
      <c r="AF32" s="252">
        <v>0</v>
      </c>
      <c r="AG32" s="252"/>
      <c r="AH32" s="252"/>
      <c r="AI32" s="254">
        <v>45.15</v>
      </c>
      <c r="AJ32" s="255">
        <f t="shared" si="1"/>
        <v>654.85</v>
      </c>
      <c r="AK32" s="252"/>
      <c r="AL32" s="256"/>
      <c r="AM32" s="256"/>
      <c r="AN32" s="252"/>
      <c r="AO32" s="252"/>
      <c r="AP32" s="255">
        <f t="shared" si="2"/>
        <v>654.85</v>
      </c>
      <c r="AQ32" s="256">
        <f t="shared" si="3"/>
        <v>0</v>
      </c>
      <c r="AR32" s="255">
        <f t="shared" si="4"/>
        <v>654.85</v>
      </c>
      <c r="AS32" s="256">
        <f t="shared" si="5"/>
        <v>65.484999999999999</v>
      </c>
      <c r="AT32" s="256">
        <f t="shared" si="6"/>
        <v>10.2256</v>
      </c>
      <c r="AU32" s="255">
        <f t="shared" si="7"/>
        <v>730.56060000000002</v>
      </c>
      <c r="AV32" s="257"/>
      <c r="AW32" s="257"/>
      <c r="AX32" s="258">
        <f t="shared" si="8"/>
        <v>-654.85</v>
      </c>
      <c r="AY32" s="257"/>
      <c r="AZ32" s="257"/>
      <c r="BA32" s="257"/>
      <c r="BB32" s="258">
        <f t="shared" si="9"/>
        <v>-654.85</v>
      </c>
      <c r="BC32" s="264">
        <v>27213723165</v>
      </c>
      <c r="BD32" s="257"/>
      <c r="BE32" s="257"/>
      <c r="BF32" s="257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</row>
    <row r="33" spans="1:89" s="135" customFormat="1" hidden="1" x14ac:dyDescent="0.25">
      <c r="A33" s="246" t="s">
        <v>60</v>
      </c>
      <c r="B33" s="259" t="s">
        <v>34</v>
      </c>
      <c r="C33" s="248">
        <f t="shared" si="10"/>
        <v>700</v>
      </c>
      <c r="D33" s="248">
        <v>0</v>
      </c>
      <c r="E33" s="248">
        <f t="shared" si="11"/>
        <v>0</v>
      </c>
      <c r="F33" s="248">
        <f t="shared" si="12"/>
        <v>700</v>
      </c>
      <c r="G33" s="248">
        <f t="shared" si="13"/>
        <v>45.15</v>
      </c>
      <c r="H33" s="248">
        <f t="shared" si="14"/>
        <v>0</v>
      </c>
      <c r="I33" s="248">
        <f t="shared" si="15"/>
        <v>0</v>
      </c>
      <c r="J33" s="248">
        <f t="shared" si="16"/>
        <v>0</v>
      </c>
      <c r="K33" s="248">
        <f t="shared" si="17"/>
        <v>45.15</v>
      </c>
      <c r="L33" s="248">
        <f t="shared" si="18"/>
        <v>654.85</v>
      </c>
      <c r="M33" s="248">
        <f t="shared" si="19"/>
        <v>654.85</v>
      </c>
      <c r="N33" s="248">
        <f t="shared" si="20"/>
        <v>65.484999999999999</v>
      </c>
      <c r="O33" s="248">
        <f>+'C&amp;A'!E33*0.02</f>
        <v>10.2256</v>
      </c>
      <c r="P33" s="248">
        <f t="shared" si="21"/>
        <v>730.56060000000002</v>
      </c>
      <c r="Q33" s="248">
        <f t="shared" si="22"/>
        <v>116.889696</v>
      </c>
      <c r="R33" s="248">
        <f t="shared" si="23"/>
        <v>847.45029599999998</v>
      </c>
      <c r="S33" s="273">
        <f>+L33-'C&amp;A'!J33-SINDICATO!L33</f>
        <v>0</v>
      </c>
      <c r="T33" s="249">
        <f t="shared" si="26"/>
        <v>0</v>
      </c>
      <c r="U33" s="133"/>
      <c r="V33" s="250" t="s">
        <v>186</v>
      </c>
      <c r="W33" s="250" t="s">
        <v>199</v>
      </c>
      <c r="X33" s="251" t="s">
        <v>60</v>
      </c>
      <c r="Y33" s="250" t="s">
        <v>48</v>
      </c>
      <c r="Z33" s="250"/>
      <c r="AA33" s="250"/>
      <c r="AB33" s="252">
        <v>511.28</v>
      </c>
      <c r="AC33" s="252">
        <v>188.72000000000003</v>
      </c>
      <c r="AD33" s="252">
        <f t="shared" si="0"/>
        <v>700</v>
      </c>
      <c r="AE33" s="252"/>
      <c r="AF33" s="252">
        <v>0</v>
      </c>
      <c r="AG33" s="252"/>
      <c r="AH33" s="252"/>
      <c r="AI33" s="254">
        <v>45.15</v>
      </c>
      <c r="AJ33" s="255">
        <f t="shared" si="1"/>
        <v>654.85</v>
      </c>
      <c r="AK33" s="252"/>
      <c r="AL33" s="256"/>
      <c r="AM33" s="256"/>
      <c r="AN33" s="252"/>
      <c r="AO33" s="252">
        <v>0</v>
      </c>
      <c r="AP33" s="255">
        <f t="shared" si="2"/>
        <v>654.85</v>
      </c>
      <c r="AQ33" s="256">
        <f t="shared" si="3"/>
        <v>0</v>
      </c>
      <c r="AR33" s="255">
        <f t="shared" si="4"/>
        <v>654.85</v>
      </c>
      <c r="AS33" s="256">
        <f t="shared" si="5"/>
        <v>65.484999999999999</v>
      </c>
      <c r="AT33" s="256">
        <f t="shared" si="6"/>
        <v>10.2256</v>
      </c>
      <c r="AU33" s="255">
        <f t="shared" si="7"/>
        <v>730.56060000000002</v>
      </c>
      <c r="AV33" s="257"/>
      <c r="AW33" s="257"/>
      <c r="AX33" s="258">
        <f t="shared" si="8"/>
        <v>-654.85</v>
      </c>
      <c r="AY33" s="257"/>
      <c r="AZ33" s="257"/>
      <c r="BA33" s="257"/>
      <c r="BB33" s="258">
        <f t="shared" si="9"/>
        <v>-654.85</v>
      </c>
      <c r="BC33" s="257" t="s">
        <v>281</v>
      </c>
      <c r="BD33" s="257"/>
      <c r="BE33" s="257"/>
      <c r="BF33" s="257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</row>
    <row r="34" spans="1:89" s="135" customFormat="1" hidden="1" x14ac:dyDescent="0.25">
      <c r="A34" s="246" t="s">
        <v>61</v>
      </c>
      <c r="B34" s="247" t="s">
        <v>62</v>
      </c>
      <c r="C34" s="248">
        <f t="shared" si="10"/>
        <v>511.28</v>
      </c>
      <c r="D34" s="248">
        <v>0</v>
      </c>
      <c r="E34" s="248">
        <f t="shared" si="11"/>
        <v>6224.55</v>
      </c>
      <c r="F34" s="248">
        <f t="shared" si="12"/>
        <v>6735.83</v>
      </c>
      <c r="G34" s="248">
        <f t="shared" si="13"/>
        <v>45.15</v>
      </c>
      <c r="H34" s="248">
        <f t="shared" si="14"/>
        <v>0</v>
      </c>
      <c r="I34" s="248">
        <f t="shared" si="15"/>
        <v>0</v>
      </c>
      <c r="J34" s="248">
        <f t="shared" si="16"/>
        <v>669.0680000000001</v>
      </c>
      <c r="K34" s="248">
        <f t="shared" si="17"/>
        <v>714.21800000000007</v>
      </c>
      <c r="L34" s="248">
        <f t="shared" si="18"/>
        <v>6021.6120000000001</v>
      </c>
      <c r="M34" s="248">
        <f t="shared" si="19"/>
        <v>6690.68</v>
      </c>
      <c r="N34" s="248">
        <f t="shared" si="20"/>
        <v>0</v>
      </c>
      <c r="O34" s="248">
        <f>+'C&amp;A'!E34*0.02</f>
        <v>10.2256</v>
      </c>
      <c r="P34" s="248">
        <f t="shared" si="21"/>
        <v>6700.9056</v>
      </c>
      <c r="Q34" s="248">
        <f t="shared" si="22"/>
        <v>1072.144896</v>
      </c>
      <c r="R34" s="248">
        <f t="shared" si="23"/>
        <v>7773.0504959999998</v>
      </c>
      <c r="S34" s="273">
        <f>+L34-'C&amp;A'!J34-SINDICATO!L34</f>
        <v>0</v>
      </c>
      <c r="T34" s="249">
        <f t="shared" si="26"/>
        <v>0</v>
      </c>
      <c r="U34" s="133"/>
      <c r="V34" s="250" t="s">
        <v>186</v>
      </c>
      <c r="W34" s="250" t="s">
        <v>62</v>
      </c>
      <c r="X34" s="251" t="s">
        <v>61</v>
      </c>
      <c r="Y34" s="250" t="s">
        <v>48</v>
      </c>
      <c r="Z34" s="250"/>
      <c r="AA34" s="250"/>
      <c r="AB34" s="252">
        <v>511.28</v>
      </c>
      <c r="AC34" s="252">
        <v>0</v>
      </c>
      <c r="AD34" s="252">
        <f t="shared" si="0"/>
        <v>511.28</v>
      </c>
      <c r="AE34" s="270">
        <v>6224.55</v>
      </c>
      <c r="AF34" s="252">
        <v>0</v>
      </c>
      <c r="AG34" s="252"/>
      <c r="AH34" s="252"/>
      <c r="AI34" s="254">
        <v>45.15</v>
      </c>
      <c r="AJ34" s="255">
        <f t="shared" si="1"/>
        <v>6690.68</v>
      </c>
      <c r="AK34" s="252"/>
      <c r="AL34" s="256"/>
      <c r="AM34" s="256"/>
      <c r="AN34" s="252"/>
      <c r="AO34" s="252">
        <v>0</v>
      </c>
      <c r="AP34" s="255">
        <f t="shared" si="2"/>
        <v>6690.68</v>
      </c>
      <c r="AQ34" s="256">
        <f t="shared" si="3"/>
        <v>669.0680000000001</v>
      </c>
      <c r="AR34" s="255">
        <f t="shared" si="4"/>
        <v>6021.6120000000001</v>
      </c>
      <c r="AS34" s="256">
        <f t="shared" si="5"/>
        <v>0</v>
      </c>
      <c r="AT34" s="256">
        <f t="shared" si="6"/>
        <v>10.2256</v>
      </c>
      <c r="AU34" s="255">
        <f t="shared" si="7"/>
        <v>6700.9056</v>
      </c>
      <c r="AV34" s="257"/>
      <c r="AW34" s="257"/>
      <c r="AX34" s="258">
        <f t="shared" si="8"/>
        <v>-6021.6120000000001</v>
      </c>
      <c r="AY34" s="257"/>
      <c r="AZ34" s="257"/>
      <c r="BA34" s="257"/>
      <c r="BB34" s="258">
        <f t="shared" si="9"/>
        <v>-6021.6120000000001</v>
      </c>
      <c r="BC34" s="257" t="s">
        <v>282</v>
      </c>
      <c r="BD34" s="257"/>
      <c r="BE34" s="257"/>
      <c r="BF34" s="257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</row>
    <row r="35" spans="1:89" s="135" customFormat="1" hidden="1" x14ac:dyDescent="0.25">
      <c r="A35" s="246" t="s">
        <v>93</v>
      </c>
      <c r="B35" s="259" t="s">
        <v>110</v>
      </c>
      <c r="C35" s="248">
        <f t="shared" si="10"/>
        <v>511.28</v>
      </c>
      <c r="D35" s="248">
        <v>0</v>
      </c>
      <c r="E35" s="248">
        <f t="shared" si="11"/>
        <v>1304.73</v>
      </c>
      <c r="F35" s="248">
        <f t="shared" si="12"/>
        <v>1816.01</v>
      </c>
      <c r="G35" s="248">
        <f t="shared" si="13"/>
        <v>45.15</v>
      </c>
      <c r="H35" s="248">
        <f t="shared" si="14"/>
        <v>0</v>
      </c>
      <c r="I35" s="248">
        <f t="shared" si="15"/>
        <v>0</v>
      </c>
      <c r="J35" s="248">
        <f t="shared" si="16"/>
        <v>0</v>
      </c>
      <c r="K35" s="248">
        <f t="shared" si="17"/>
        <v>45.15</v>
      </c>
      <c r="L35" s="248">
        <f t="shared" si="18"/>
        <v>1770.86</v>
      </c>
      <c r="M35" s="248">
        <f t="shared" si="19"/>
        <v>1770.86</v>
      </c>
      <c r="N35" s="248">
        <f t="shared" si="20"/>
        <v>177.08600000000001</v>
      </c>
      <c r="O35" s="248">
        <f>+'C&amp;A'!E35*0.02</f>
        <v>10.2256</v>
      </c>
      <c r="P35" s="248">
        <f t="shared" si="21"/>
        <v>1958.1715999999999</v>
      </c>
      <c r="Q35" s="248">
        <f t="shared" si="22"/>
        <v>313.307456</v>
      </c>
      <c r="R35" s="248">
        <f t="shared" si="23"/>
        <v>2271.4790560000001</v>
      </c>
      <c r="S35" s="273">
        <f>+L35-'C&amp;A'!J35-SINDICATO!L35</f>
        <v>0</v>
      </c>
      <c r="T35" s="249">
        <f t="shared" si="26"/>
        <v>0</v>
      </c>
      <c r="U35" s="133"/>
      <c r="V35" s="250" t="s">
        <v>181</v>
      </c>
      <c r="W35" s="250" t="s">
        <v>184</v>
      </c>
      <c r="X35" s="251" t="s">
        <v>63</v>
      </c>
      <c r="Y35" s="250" t="s">
        <v>48</v>
      </c>
      <c r="Z35" s="250"/>
      <c r="AA35" s="250"/>
      <c r="AB35" s="252">
        <v>511.28</v>
      </c>
      <c r="AC35" s="252">
        <v>0</v>
      </c>
      <c r="AD35" s="252">
        <f t="shared" si="0"/>
        <v>511.28</v>
      </c>
      <c r="AE35" s="260">
        <v>1304.73</v>
      </c>
      <c r="AF35" s="260">
        <v>0</v>
      </c>
      <c r="AG35" s="252"/>
      <c r="AH35" s="252"/>
      <c r="AI35" s="254">
        <v>45.15</v>
      </c>
      <c r="AJ35" s="255">
        <f t="shared" si="1"/>
        <v>1770.86</v>
      </c>
      <c r="AK35" s="252"/>
      <c r="AL35" s="256"/>
      <c r="AM35" s="256"/>
      <c r="AN35" s="252"/>
      <c r="AO35" s="252">
        <v>0</v>
      </c>
      <c r="AP35" s="255">
        <f t="shared" si="2"/>
        <v>1770.86</v>
      </c>
      <c r="AQ35" s="256">
        <f t="shared" si="3"/>
        <v>0</v>
      </c>
      <c r="AR35" s="255">
        <f t="shared" si="4"/>
        <v>1770.86</v>
      </c>
      <c r="AS35" s="256">
        <f t="shared" si="5"/>
        <v>177.08600000000001</v>
      </c>
      <c r="AT35" s="256">
        <f t="shared" si="6"/>
        <v>10.2256</v>
      </c>
      <c r="AU35" s="255">
        <f t="shared" si="7"/>
        <v>1958.1715999999999</v>
      </c>
      <c r="AV35" s="257"/>
      <c r="AW35" s="257"/>
      <c r="AX35" s="258">
        <f t="shared" si="8"/>
        <v>-1770.86</v>
      </c>
      <c r="AY35" s="257"/>
      <c r="AZ35" s="257"/>
      <c r="BA35" s="257"/>
      <c r="BB35" s="258">
        <f t="shared" si="9"/>
        <v>-1770.86</v>
      </c>
      <c r="BC35" s="257" t="s">
        <v>283</v>
      </c>
      <c r="BD35" s="257"/>
      <c r="BE35" s="257"/>
      <c r="BF35" s="257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</row>
    <row r="36" spans="1:89" s="135" customFormat="1" hidden="1" x14ac:dyDescent="0.25">
      <c r="A36" s="246" t="s">
        <v>40</v>
      </c>
      <c r="B36" s="259" t="s">
        <v>102</v>
      </c>
      <c r="C36" s="248">
        <f t="shared" si="10"/>
        <v>511.28</v>
      </c>
      <c r="D36" s="248">
        <v>0</v>
      </c>
      <c r="E36" s="248">
        <f t="shared" si="11"/>
        <v>1619.32</v>
      </c>
      <c r="F36" s="248">
        <f t="shared" si="12"/>
        <v>2130.6</v>
      </c>
      <c r="G36" s="248">
        <f t="shared" si="13"/>
        <v>45.15</v>
      </c>
      <c r="H36" s="248">
        <f t="shared" si="14"/>
        <v>0</v>
      </c>
      <c r="I36" s="248">
        <f t="shared" si="15"/>
        <v>134.6</v>
      </c>
      <c r="J36" s="248">
        <f t="shared" si="16"/>
        <v>0</v>
      </c>
      <c r="K36" s="248">
        <f t="shared" si="17"/>
        <v>179.75</v>
      </c>
      <c r="L36" s="248">
        <f t="shared" si="18"/>
        <v>1950.85</v>
      </c>
      <c r="M36" s="248">
        <f t="shared" si="19"/>
        <v>2085.4499999999998</v>
      </c>
      <c r="N36" s="248">
        <f t="shared" si="20"/>
        <v>208.54499999999999</v>
      </c>
      <c r="O36" s="248">
        <f>+'C&amp;A'!E36*0.02</f>
        <v>10.2256</v>
      </c>
      <c r="P36" s="248">
        <f t="shared" si="21"/>
        <v>2304.2206000000001</v>
      </c>
      <c r="Q36" s="248">
        <f t="shared" si="22"/>
        <v>368.675296</v>
      </c>
      <c r="R36" s="248">
        <f t="shared" si="23"/>
        <v>2672.895896</v>
      </c>
      <c r="S36" s="273">
        <f>+L36-'C&amp;A'!J36-SINDICATO!L36</f>
        <v>0</v>
      </c>
      <c r="T36" s="249">
        <f t="shared" si="26"/>
        <v>0</v>
      </c>
      <c r="U36" s="133"/>
      <c r="V36" s="250" t="s">
        <v>181</v>
      </c>
      <c r="W36" s="250" t="s">
        <v>185</v>
      </c>
      <c r="X36" s="251" t="s">
        <v>40</v>
      </c>
      <c r="Y36" s="250" t="s">
        <v>48</v>
      </c>
      <c r="Z36" s="250"/>
      <c r="AA36" s="250"/>
      <c r="AB36" s="252">
        <v>511.28</v>
      </c>
      <c r="AC36" s="252">
        <v>0</v>
      </c>
      <c r="AD36" s="252">
        <f t="shared" si="0"/>
        <v>511.28</v>
      </c>
      <c r="AE36" s="252">
        <v>1619.32</v>
      </c>
      <c r="AF36" s="252">
        <v>0</v>
      </c>
      <c r="AG36" s="252"/>
      <c r="AH36" s="252"/>
      <c r="AI36" s="254">
        <v>45.15</v>
      </c>
      <c r="AJ36" s="255">
        <f t="shared" si="1"/>
        <v>2085.4499999999998</v>
      </c>
      <c r="AK36" s="252"/>
      <c r="AL36" s="256"/>
      <c r="AM36" s="256"/>
      <c r="AN36" s="252"/>
      <c r="AO36" s="252">
        <v>134.6</v>
      </c>
      <c r="AP36" s="255">
        <f t="shared" si="2"/>
        <v>1950.85</v>
      </c>
      <c r="AQ36" s="256">
        <f t="shared" si="3"/>
        <v>0</v>
      </c>
      <c r="AR36" s="255">
        <f t="shared" si="4"/>
        <v>1950.85</v>
      </c>
      <c r="AS36" s="256">
        <f t="shared" si="5"/>
        <v>208.54499999999999</v>
      </c>
      <c r="AT36" s="256">
        <f t="shared" si="6"/>
        <v>10.2256</v>
      </c>
      <c r="AU36" s="255">
        <f t="shared" si="7"/>
        <v>2304.2206000000001</v>
      </c>
      <c r="AV36" s="257"/>
      <c r="AW36" s="257"/>
      <c r="AX36" s="258">
        <f t="shared" si="8"/>
        <v>-1950.85</v>
      </c>
      <c r="AY36" s="257"/>
      <c r="AZ36" s="257"/>
      <c r="BA36" s="257"/>
      <c r="BB36" s="258">
        <f t="shared" si="9"/>
        <v>-1950.85</v>
      </c>
      <c r="BC36" s="257" t="s">
        <v>284</v>
      </c>
      <c r="BD36" s="257"/>
      <c r="BE36" s="257"/>
      <c r="BF36" s="257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</row>
    <row r="37" spans="1:89" s="135" customFormat="1" ht="15.75" hidden="1" x14ac:dyDescent="0.25">
      <c r="A37" s="262" t="s">
        <v>244</v>
      </c>
      <c r="B37" s="263" t="s">
        <v>215</v>
      </c>
      <c r="C37" s="248">
        <f t="shared" si="10"/>
        <v>700</v>
      </c>
      <c r="D37" s="248">
        <v>0</v>
      </c>
      <c r="E37" s="248">
        <f t="shared" si="11"/>
        <v>0</v>
      </c>
      <c r="F37" s="248">
        <f t="shared" si="12"/>
        <v>700</v>
      </c>
      <c r="G37" s="248">
        <f t="shared" si="13"/>
        <v>45.15</v>
      </c>
      <c r="H37" s="248">
        <f t="shared" si="14"/>
        <v>0</v>
      </c>
      <c r="I37" s="248">
        <f t="shared" si="15"/>
        <v>0</v>
      </c>
      <c r="J37" s="248">
        <f t="shared" si="16"/>
        <v>0</v>
      </c>
      <c r="K37" s="248">
        <f t="shared" si="17"/>
        <v>45.15</v>
      </c>
      <c r="L37" s="248">
        <f t="shared" si="18"/>
        <v>654.85</v>
      </c>
      <c r="M37" s="248">
        <f t="shared" si="19"/>
        <v>654.85</v>
      </c>
      <c r="N37" s="248">
        <f t="shared" si="20"/>
        <v>65.484999999999999</v>
      </c>
      <c r="O37" s="248">
        <f>+'C&amp;A'!E37*0.02</f>
        <v>10.2256</v>
      </c>
      <c r="P37" s="248">
        <f t="shared" si="21"/>
        <v>730.56060000000002</v>
      </c>
      <c r="Q37" s="248">
        <f t="shared" si="22"/>
        <v>116.889696</v>
      </c>
      <c r="R37" s="248">
        <f t="shared" si="23"/>
        <v>847.45029599999998</v>
      </c>
      <c r="S37" s="273">
        <f>+L37-'C&amp;A'!J37-SINDICATO!L37</f>
        <v>0</v>
      </c>
      <c r="T37" s="249">
        <f t="shared" si="26"/>
        <v>0</v>
      </c>
      <c r="U37" s="133"/>
      <c r="V37" s="250" t="s">
        <v>186</v>
      </c>
      <c r="W37" s="250" t="s">
        <v>202</v>
      </c>
      <c r="X37" s="251"/>
      <c r="Y37" s="250" t="s">
        <v>48</v>
      </c>
      <c r="Z37" s="250"/>
      <c r="AA37" s="250"/>
      <c r="AB37" s="252">
        <v>511.28</v>
      </c>
      <c r="AC37" s="252">
        <v>188.72000000000003</v>
      </c>
      <c r="AD37" s="252">
        <f t="shared" si="0"/>
        <v>700</v>
      </c>
      <c r="AE37" s="252"/>
      <c r="AF37" s="252">
        <v>0</v>
      </c>
      <c r="AG37" s="252"/>
      <c r="AH37" s="252"/>
      <c r="AI37" s="254">
        <v>45.15</v>
      </c>
      <c r="AJ37" s="255">
        <f t="shared" si="1"/>
        <v>654.85</v>
      </c>
      <c r="AK37" s="252"/>
      <c r="AL37" s="256"/>
      <c r="AM37" s="256"/>
      <c r="AN37" s="252"/>
      <c r="AO37" s="252">
        <v>0</v>
      </c>
      <c r="AP37" s="255">
        <f t="shared" si="2"/>
        <v>654.85</v>
      </c>
      <c r="AQ37" s="256">
        <f t="shared" si="3"/>
        <v>0</v>
      </c>
      <c r="AR37" s="255">
        <f t="shared" si="4"/>
        <v>654.85</v>
      </c>
      <c r="AS37" s="256">
        <f t="shared" si="5"/>
        <v>65.484999999999999</v>
      </c>
      <c r="AT37" s="256">
        <f t="shared" si="6"/>
        <v>10.2256</v>
      </c>
      <c r="AU37" s="255">
        <f t="shared" si="7"/>
        <v>730.56060000000002</v>
      </c>
      <c r="AV37" s="257"/>
      <c r="AW37" s="257"/>
      <c r="AX37" s="258">
        <f t="shared" si="8"/>
        <v>-654.85</v>
      </c>
      <c r="AY37" s="257"/>
      <c r="AZ37" s="257"/>
      <c r="BA37" s="257"/>
      <c r="BB37" s="258">
        <f t="shared" si="9"/>
        <v>-654.85</v>
      </c>
      <c r="BC37" s="264">
        <v>2973111075</v>
      </c>
      <c r="BD37" s="257"/>
      <c r="BE37" s="257"/>
      <c r="BF37" s="257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</row>
    <row r="38" spans="1:89" s="135" customFormat="1" hidden="1" x14ac:dyDescent="0.25">
      <c r="A38" s="246" t="s">
        <v>65</v>
      </c>
      <c r="B38" s="259" t="s">
        <v>111</v>
      </c>
      <c r="C38" s="248">
        <f t="shared" si="10"/>
        <v>577.34999999999991</v>
      </c>
      <c r="D38" s="248">
        <v>0</v>
      </c>
      <c r="E38" s="248">
        <f t="shared" si="11"/>
        <v>9696.99</v>
      </c>
      <c r="F38" s="248">
        <f t="shared" si="12"/>
        <v>10274.34</v>
      </c>
      <c r="G38" s="248">
        <f t="shared" si="13"/>
        <v>45.15</v>
      </c>
      <c r="H38" s="248">
        <f>+AN38</f>
        <v>0</v>
      </c>
      <c r="I38" s="248">
        <f t="shared" si="15"/>
        <v>0</v>
      </c>
      <c r="J38" s="248">
        <f t="shared" si="16"/>
        <v>1022.9190000000001</v>
      </c>
      <c r="K38" s="248">
        <f t="shared" si="17"/>
        <v>1068.0690000000002</v>
      </c>
      <c r="L38" s="248">
        <f>+F38-K38</f>
        <v>9206.2710000000006</v>
      </c>
      <c r="M38" s="248">
        <f t="shared" si="19"/>
        <v>10229.19</v>
      </c>
      <c r="N38" s="248">
        <f t="shared" si="20"/>
        <v>0</v>
      </c>
      <c r="O38" s="248">
        <f>+'C&amp;A'!E38*0.02</f>
        <v>10.2256</v>
      </c>
      <c r="P38" s="248">
        <f t="shared" si="21"/>
        <v>10239.4156</v>
      </c>
      <c r="Q38" s="248">
        <f t="shared" si="22"/>
        <v>1638.3064960000002</v>
      </c>
      <c r="R38" s="248">
        <f t="shared" si="23"/>
        <v>11877.722096000001</v>
      </c>
      <c r="S38" s="273">
        <f>+L38-'C&amp;A'!J38-SINDICATO!L38</f>
        <v>0</v>
      </c>
      <c r="T38" s="249">
        <f t="shared" si="26"/>
        <v>0</v>
      </c>
      <c r="U38" s="133"/>
      <c r="V38" s="250" t="s">
        <v>186</v>
      </c>
      <c r="W38" s="250" t="s">
        <v>201</v>
      </c>
      <c r="X38" s="251" t="s">
        <v>65</v>
      </c>
      <c r="Y38" s="250" t="s">
        <v>48</v>
      </c>
      <c r="Z38" s="250"/>
      <c r="AA38" s="250"/>
      <c r="AB38" s="252">
        <f>511.28+66.07</f>
        <v>577.34999999999991</v>
      </c>
      <c r="AC38" s="252">
        <v>0</v>
      </c>
      <c r="AD38" s="252">
        <f t="shared" si="0"/>
        <v>577.34999999999991</v>
      </c>
      <c r="AE38" s="252">
        <v>9696.99</v>
      </c>
      <c r="AF38" s="252">
        <v>0</v>
      </c>
      <c r="AG38" s="252"/>
      <c r="AH38" s="252"/>
      <c r="AI38" s="254">
        <v>45.15</v>
      </c>
      <c r="AJ38" s="255">
        <f t="shared" si="1"/>
        <v>10229.19</v>
      </c>
      <c r="AK38" s="252"/>
      <c r="AL38" s="256"/>
      <c r="AM38" s="256"/>
      <c r="AN38" s="252"/>
      <c r="AO38" s="252">
        <v>0</v>
      </c>
      <c r="AP38" s="255">
        <f t="shared" si="2"/>
        <v>10229.19</v>
      </c>
      <c r="AQ38" s="256">
        <f t="shared" si="3"/>
        <v>1022.9190000000001</v>
      </c>
      <c r="AR38" s="255">
        <f t="shared" si="4"/>
        <v>9206.2710000000006</v>
      </c>
      <c r="AS38" s="256">
        <f t="shared" si="5"/>
        <v>0</v>
      </c>
      <c r="AT38" s="256">
        <f t="shared" si="6"/>
        <v>11.546999999999999</v>
      </c>
      <c r="AU38" s="255">
        <f t="shared" si="7"/>
        <v>10240.737000000001</v>
      </c>
      <c r="AV38" s="257"/>
      <c r="AW38" s="257"/>
      <c r="AX38" s="258">
        <f t="shared" si="8"/>
        <v>-9206.2710000000006</v>
      </c>
      <c r="AY38" s="257"/>
      <c r="AZ38" s="257"/>
      <c r="BA38" s="257"/>
      <c r="BB38" s="258">
        <f t="shared" si="9"/>
        <v>-9206.2710000000006</v>
      </c>
      <c r="BC38" s="257" t="s">
        <v>287</v>
      </c>
      <c r="BD38" s="257"/>
      <c r="BE38" s="257"/>
      <c r="BF38" s="257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</row>
    <row r="39" spans="1:89" x14ac:dyDescent="0.25">
      <c r="A39" s="20"/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133"/>
      <c r="U39" s="133"/>
      <c r="V39" s="214"/>
      <c r="W39" s="214"/>
      <c r="X39" s="215"/>
      <c r="Y39" s="214"/>
      <c r="Z39" s="225"/>
      <c r="AA39" s="225"/>
      <c r="AB39" s="216"/>
      <c r="AC39" s="217"/>
      <c r="AD39" s="216"/>
      <c r="AE39" s="216"/>
      <c r="AF39" s="216"/>
      <c r="AG39" s="217"/>
      <c r="AH39" s="217"/>
      <c r="AI39" s="218"/>
      <c r="AJ39" s="219"/>
      <c r="AK39" s="220"/>
      <c r="AL39" s="221"/>
      <c r="AM39" s="221"/>
      <c r="AN39" s="216"/>
      <c r="AO39" s="216"/>
      <c r="AP39" s="219"/>
      <c r="AQ39" s="222"/>
      <c r="AR39" s="219"/>
      <c r="AS39" s="223"/>
      <c r="AT39" s="222"/>
      <c r="AU39" s="219"/>
      <c r="AV39" s="24"/>
      <c r="AW39" s="24"/>
      <c r="AX39" s="224">
        <f t="shared" si="8"/>
        <v>0</v>
      </c>
      <c r="AY39" s="24"/>
      <c r="AZ39" s="24"/>
      <c r="BA39" s="24"/>
      <c r="BB39" s="224">
        <f>+AY39-AZ39-BA39</f>
        <v>0</v>
      </c>
      <c r="BC39" s="24"/>
      <c r="BD39" s="24"/>
      <c r="BE39" s="24"/>
      <c r="BF39" s="24"/>
    </row>
    <row r="40" spans="1:89" ht="15.75" thickBot="1" x14ac:dyDescent="0.3">
      <c r="A40" s="25" t="s">
        <v>16</v>
      </c>
      <c r="B40" s="20"/>
      <c r="C40" s="26">
        <f>SUM(C10:C38)</f>
        <v>23813.059999999998</v>
      </c>
      <c r="D40" s="26">
        <f>SUM(D10:D38)</f>
        <v>132.13999999999999</v>
      </c>
      <c r="E40" s="26">
        <f>SUM(E10:E38)</f>
        <v>89214.090000000026</v>
      </c>
      <c r="F40" s="26">
        <f t="shared" ref="F40:G40" si="27">SUM(F10:F38)</f>
        <v>113159.29000000001</v>
      </c>
      <c r="G40" s="26">
        <f t="shared" si="27"/>
        <v>1309.3500000000001</v>
      </c>
      <c r="H40" s="276">
        <f t="shared" ref="H40:R40" si="28">SUM(H10:H38)</f>
        <v>524.16999999999996</v>
      </c>
      <c r="I40" s="26">
        <f t="shared" si="28"/>
        <v>2195.1</v>
      </c>
      <c r="J40" s="26">
        <f t="shared" si="28"/>
        <v>8803.4730000000018</v>
      </c>
      <c r="K40" s="26">
        <f t="shared" si="28"/>
        <v>12832.092999999995</v>
      </c>
      <c r="L40" s="26">
        <f t="shared" si="28"/>
        <v>100327.19700000001</v>
      </c>
      <c r="M40" s="26">
        <f t="shared" si="28"/>
        <v>111849.94000000003</v>
      </c>
      <c r="N40" s="26">
        <f t="shared" si="28"/>
        <v>2368.3070000000002</v>
      </c>
      <c r="O40" s="26">
        <f t="shared" si="28"/>
        <v>293.13359999999983</v>
      </c>
      <c r="P40" s="26">
        <f t="shared" si="28"/>
        <v>114511.38059999997</v>
      </c>
      <c r="Q40" s="26">
        <f t="shared" si="28"/>
        <v>18321.820896000001</v>
      </c>
      <c r="R40" s="26">
        <f t="shared" si="28"/>
        <v>132833.20149599999</v>
      </c>
      <c r="S40" s="274"/>
      <c r="T40" s="134">
        <f>SUM(T10:T38)</f>
        <v>132.13999999999987</v>
      </c>
      <c r="U40" s="133"/>
      <c r="V40" s="228"/>
      <c r="W40" s="214"/>
      <c r="X40" s="225"/>
      <c r="Y40" s="214"/>
      <c r="Z40" s="214"/>
      <c r="AA40" s="214"/>
      <c r="AB40" s="214"/>
      <c r="AC40" s="214"/>
      <c r="AD40" s="216"/>
      <c r="AE40" s="216"/>
      <c r="AF40" s="216"/>
      <c r="AG40" s="216"/>
      <c r="AH40" s="216"/>
      <c r="AI40" s="218"/>
      <c r="AJ40" s="219"/>
      <c r="AK40" s="220"/>
      <c r="AL40" s="221"/>
      <c r="AM40" s="221"/>
      <c r="AN40" s="216"/>
      <c r="AO40" s="216"/>
      <c r="AP40" s="219"/>
      <c r="AQ40" s="222"/>
      <c r="AR40" s="219"/>
      <c r="AS40" s="223"/>
      <c r="AT40" s="222"/>
      <c r="AU40" s="219"/>
      <c r="AV40" s="24"/>
      <c r="AW40" s="24"/>
      <c r="AX40" s="224">
        <f t="shared" si="8"/>
        <v>0</v>
      </c>
      <c r="AY40" s="24"/>
      <c r="AZ40" s="24"/>
      <c r="BA40" s="24"/>
      <c r="BB40" s="224">
        <f>+AY40-AZ40-BA40</f>
        <v>0</v>
      </c>
      <c r="BC40" s="24"/>
      <c r="BD40" s="24"/>
      <c r="BE40" s="24"/>
      <c r="BF40" s="24"/>
    </row>
    <row r="41" spans="1:89" ht="15.75" thickTop="1" x14ac:dyDescent="0.25">
      <c r="A41" s="20"/>
      <c r="B41" s="24"/>
      <c r="C41" s="43"/>
      <c r="D41" s="43"/>
      <c r="E41" s="43"/>
      <c r="F41" s="43"/>
      <c r="G41" s="43"/>
      <c r="H41" s="277" t="s">
        <v>310</v>
      </c>
      <c r="I41" s="179"/>
      <c r="J41" s="179"/>
      <c r="K41" s="179"/>
      <c r="L41" s="179"/>
      <c r="M41" s="179"/>
      <c r="N41" s="179"/>
      <c r="O41" s="179"/>
      <c r="P41" s="179"/>
      <c r="Q41" s="179"/>
      <c r="R41" s="43"/>
      <c r="S41" s="43"/>
      <c r="T41" s="134"/>
      <c r="U41" s="133"/>
      <c r="V41" s="228"/>
      <c r="W41" s="214"/>
      <c r="X41" s="225"/>
      <c r="Y41" s="214"/>
      <c r="Z41" s="214"/>
      <c r="AA41" s="214"/>
      <c r="AB41" s="214"/>
      <c r="AC41" s="214"/>
      <c r="AD41" s="216"/>
      <c r="AE41" s="216"/>
      <c r="AF41" s="216"/>
      <c r="AG41" s="216"/>
      <c r="AH41" s="216"/>
      <c r="AI41" s="218"/>
      <c r="AJ41" s="219"/>
      <c r="AK41" s="220"/>
      <c r="AL41" s="221"/>
      <c r="AM41" s="221"/>
      <c r="AN41" s="222"/>
      <c r="AO41" s="222"/>
      <c r="AP41" s="219"/>
      <c r="AQ41" s="222"/>
      <c r="AR41" s="219"/>
      <c r="AS41" s="223"/>
      <c r="AT41" s="222"/>
      <c r="AU41" s="219"/>
      <c r="AV41" s="24"/>
      <c r="AW41" s="24"/>
      <c r="AX41" s="224">
        <f t="shared" si="8"/>
        <v>0</v>
      </c>
      <c r="AY41" s="24"/>
      <c r="AZ41" s="24"/>
      <c r="BA41" s="24"/>
      <c r="BB41" s="224">
        <f>+AY41-AZ41-BA41</f>
        <v>0</v>
      </c>
      <c r="BC41" s="24"/>
      <c r="BD41" s="24"/>
      <c r="BE41" s="24"/>
      <c r="BF41" s="24"/>
    </row>
    <row r="42" spans="1:89" x14ac:dyDescent="0.25">
      <c r="A42" s="20"/>
      <c r="B42" s="21"/>
      <c r="C42" s="21" t="s">
        <v>17</v>
      </c>
      <c r="D42" s="60"/>
      <c r="E42" s="21"/>
      <c r="F42" s="21"/>
      <c r="G42" s="21"/>
      <c r="H42" s="21"/>
      <c r="I42" s="179"/>
      <c r="J42" s="180"/>
      <c r="K42" s="180"/>
      <c r="L42" s="179"/>
      <c r="M42" s="179"/>
      <c r="N42" s="180"/>
      <c r="O42" s="180"/>
      <c r="P42" s="181"/>
      <c r="Q42" s="180"/>
      <c r="R42" s="43"/>
      <c r="S42" s="43"/>
      <c r="T42" s="134">
        <f>+SINDICATO!I40+SINDICATO!H40+'C&amp;A'!G40</f>
        <v>10998.573000000002</v>
      </c>
      <c r="U42" s="133"/>
      <c r="V42" s="228"/>
      <c r="W42" s="229"/>
      <c r="X42" s="229"/>
      <c r="Y42" s="229"/>
      <c r="Z42" s="229"/>
      <c r="AA42" s="229"/>
      <c r="AB42" s="229"/>
      <c r="AC42" s="229"/>
      <c r="AD42" s="230"/>
      <c r="AE42" s="230"/>
      <c r="AF42" s="230"/>
      <c r="AG42" s="230"/>
      <c r="AH42" s="230"/>
      <c r="AI42" s="230"/>
      <c r="AJ42" s="231"/>
      <c r="AK42" s="230"/>
      <c r="AL42" s="222"/>
      <c r="AM42" s="222"/>
      <c r="AN42" s="222"/>
      <c r="AO42" s="222"/>
      <c r="AP42" s="232"/>
      <c r="AQ42" s="222"/>
      <c r="AR42" s="231"/>
      <c r="AS42" s="222"/>
      <c r="AT42" s="222"/>
      <c r="AU42" s="231"/>
      <c r="AV42" s="24"/>
      <c r="AW42" s="24"/>
      <c r="AX42" s="224">
        <f t="shared" si="8"/>
        <v>0</v>
      </c>
      <c r="AY42" s="24"/>
      <c r="AZ42" s="24"/>
      <c r="BA42" s="24"/>
      <c r="BB42" s="224">
        <f>+AY42-AZ42-BA42</f>
        <v>0</v>
      </c>
      <c r="BC42" s="24"/>
      <c r="BD42" s="24"/>
      <c r="BE42" s="24"/>
      <c r="BF42" s="24"/>
    </row>
    <row r="43" spans="1:89" ht="15.75" thickBot="1" x14ac:dyDescent="0.3">
      <c r="A43" s="296" t="s">
        <v>205</v>
      </c>
      <c r="B43" s="296"/>
      <c r="C43" s="27"/>
      <c r="D43" s="27"/>
      <c r="E43" s="27"/>
      <c r="F43" s="27"/>
      <c r="G43" s="27"/>
      <c r="H43" s="27"/>
      <c r="I43" s="182"/>
      <c r="J43" s="183"/>
      <c r="K43" s="183"/>
      <c r="L43" s="183"/>
      <c r="M43" s="183"/>
      <c r="N43" s="182"/>
      <c r="O43" s="182"/>
      <c r="P43" s="184"/>
      <c r="Q43" s="182"/>
      <c r="R43" s="59"/>
      <c r="S43" s="59"/>
      <c r="T43" s="134">
        <f>+T40-T42</f>
        <v>-10866.433000000003</v>
      </c>
      <c r="U43" s="133"/>
      <c r="W43" s="234" t="s">
        <v>204</v>
      </c>
      <c r="X43" s="234"/>
      <c r="Y43" s="234"/>
      <c r="Z43" s="234"/>
      <c r="AA43" s="234"/>
      <c r="AB43" s="234"/>
      <c r="AC43" s="234"/>
      <c r="AD43" s="235">
        <f>SUM(AD10:AD34)</f>
        <v>21513.15</v>
      </c>
      <c r="AE43" s="235"/>
      <c r="AF43" s="235"/>
      <c r="AG43" s="235">
        <f t="shared" ref="AG43:AP43" si="29">SUM(AG10:AG34)</f>
        <v>0</v>
      </c>
      <c r="AH43" s="235">
        <f t="shared" si="29"/>
        <v>0</v>
      </c>
      <c r="AI43" s="235">
        <f t="shared" si="29"/>
        <v>1128.7499999999998</v>
      </c>
      <c r="AJ43" s="235">
        <f t="shared" si="29"/>
        <v>96977.450000000041</v>
      </c>
      <c r="AK43" s="235">
        <f t="shared" si="29"/>
        <v>0</v>
      </c>
      <c r="AL43" s="235">
        <f t="shared" si="29"/>
        <v>0</v>
      </c>
      <c r="AM43" s="235">
        <f t="shared" si="29"/>
        <v>0</v>
      </c>
      <c r="AN43" s="235">
        <f t="shared" si="29"/>
        <v>524.16999999999996</v>
      </c>
      <c r="AO43" s="235">
        <f t="shared" si="29"/>
        <v>2060.5</v>
      </c>
      <c r="AP43" s="235">
        <f t="shared" si="29"/>
        <v>94392.780000000028</v>
      </c>
      <c r="AQ43" s="235">
        <f>SUBTOTAL(9,AQ5:AQ42)</f>
        <v>0</v>
      </c>
      <c r="AR43" s="235">
        <f>SUM(AR10:AR34)</f>
        <v>86612.22600000001</v>
      </c>
      <c r="AS43" s="235">
        <f>SUM(AS10:AS34)</f>
        <v>1917.1909999999998</v>
      </c>
      <c r="AT43" s="235">
        <f>SUM(AT10:AT34)</f>
        <v>260.73579999999987</v>
      </c>
      <c r="AU43" s="235">
        <f>SUBTOTAL(9,AU5:AU42)</f>
        <v>8478.104800000001</v>
      </c>
      <c r="AV43" s="24"/>
      <c r="AW43" s="24"/>
      <c r="AX43" s="224"/>
      <c r="AZ43" s="24"/>
      <c r="BA43" s="24"/>
      <c r="BB43" s="224">
        <f t="shared" ref="BB43:BB48" si="30">+AY43-AZ43-BA43</f>
        <v>0</v>
      </c>
      <c r="BC43" s="24"/>
    </row>
    <row r="44" spans="1:89" ht="15.75" thickTop="1" x14ac:dyDescent="0.25">
      <c r="A44" s="169" t="s">
        <v>64</v>
      </c>
      <c r="B44" s="172" t="s">
        <v>108</v>
      </c>
      <c r="C44" s="170" t="e">
        <f>+#REF!</f>
        <v>#REF!</v>
      </c>
      <c r="D44" s="170">
        <v>0</v>
      </c>
      <c r="E44" s="170" t="e">
        <f>+#REF!</f>
        <v>#REF!</v>
      </c>
      <c r="F44" s="170"/>
      <c r="G44" s="170" t="e">
        <f>+#REF!</f>
        <v>#REF!</v>
      </c>
      <c r="H44" s="170" t="e">
        <f>+#REF!</f>
        <v>#REF!</v>
      </c>
      <c r="I44" s="170" t="e">
        <f>+#REF!</f>
        <v>#REF!</v>
      </c>
      <c r="J44" s="170" t="e">
        <f>+#REF!</f>
        <v>#REF!</v>
      </c>
      <c r="K44" s="170"/>
      <c r="L44" s="170" t="e">
        <f>+C44+D44+E44-G44-H44-I44-J44</f>
        <v>#REF!</v>
      </c>
      <c r="M44" s="170" t="e">
        <f>+C44+D44+E44-G44-H44</f>
        <v>#REF!</v>
      </c>
      <c r="N44" s="170" t="e">
        <f>+#REF!</f>
        <v>#REF!</v>
      </c>
      <c r="O44" s="170" t="e">
        <f>+'C&amp;A'!#REF!*0.02</f>
        <v>#REF!</v>
      </c>
      <c r="P44" s="170" t="e">
        <f>SUM(M44:O44)</f>
        <v>#REF!</v>
      </c>
      <c r="Q44" s="170" t="e">
        <f>+P44*0.16</f>
        <v>#REF!</v>
      </c>
      <c r="R44" s="170" t="e">
        <f>+P44+Q44</f>
        <v>#REF!</v>
      </c>
      <c r="S44" s="275"/>
      <c r="T44" s="171">
        <v>0</v>
      </c>
      <c r="U44" s="133"/>
      <c r="AU44" s="208">
        <f>AU43*0.16</f>
        <v>1356.4967680000002</v>
      </c>
      <c r="AV44" s="24"/>
      <c r="AW44" s="24"/>
      <c r="AX44" s="224">
        <f t="shared" ref="AX44:AX52" si="31">+AV44+AW44-AR44</f>
        <v>0</v>
      </c>
      <c r="AZ44" s="24"/>
      <c r="BA44" s="24"/>
      <c r="BB44" s="224">
        <f t="shared" si="30"/>
        <v>0</v>
      </c>
      <c r="BC44" s="24"/>
    </row>
    <row r="45" spans="1:89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43"/>
      <c r="K45" s="43"/>
      <c r="L45" s="21"/>
      <c r="M45" s="21"/>
      <c r="N45" s="21"/>
      <c r="O45" s="21"/>
      <c r="P45" s="21"/>
      <c r="Q45" s="133"/>
      <c r="R45" s="21"/>
      <c r="S45" s="21"/>
      <c r="T45" s="21"/>
      <c r="AQ45" s="207">
        <f>+AQ43-AQ44</f>
        <v>0</v>
      </c>
      <c r="AU45" s="208">
        <f>+AU43+AU44</f>
        <v>9834.6015680000019</v>
      </c>
      <c r="AV45" s="24"/>
      <c r="AW45" s="24"/>
      <c r="AX45" s="224">
        <f t="shared" si="31"/>
        <v>0</v>
      </c>
      <c r="AY45" s="207">
        <v>112981.14</v>
      </c>
      <c r="AZ45" s="24"/>
      <c r="BA45" s="24"/>
      <c r="BB45" s="224">
        <f t="shared" si="30"/>
        <v>112981.14</v>
      </c>
    </row>
    <row r="46" spans="1:89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33"/>
      <c r="R46" s="21"/>
      <c r="S46" s="21"/>
      <c r="T46" s="21"/>
      <c r="AV46" s="24"/>
      <c r="AW46" s="24"/>
      <c r="AX46" s="224"/>
      <c r="AY46" s="207"/>
      <c r="AZ46" s="24"/>
      <c r="BA46" s="24"/>
      <c r="BB46" s="224"/>
    </row>
    <row r="47" spans="1:89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133"/>
      <c r="R47" s="21"/>
      <c r="S47" s="21"/>
      <c r="T47" s="21"/>
      <c r="AV47" s="24"/>
      <c r="AW47" s="24"/>
      <c r="AX47" s="224"/>
      <c r="AY47" s="207"/>
      <c r="AZ47" s="24"/>
      <c r="BA47" s="24"/>
      <c r="BB47" s="224"/>
    </row>
    <row r="48" spans="1:89" x14ac:dyDescent="0.25">
      <c r="A48" s="169" t="s">
        <v>52</v>
      </c>
      <c r="B48" s="172" t="s">
        <v>104</v>
      </c>
      <c r="C48" s="170" t="e">
        <f>+#REF!</f>
        <v>#REF!</v>
      </c>
      <c r="D48" s="170">
        <v>0</v>
      </c>
      <c r="E48" s="170" t="e">
        <f>+#REF!</f>
        <v>#REF!</v>
      </c>
      <c r="F48" s="170"/>
      <c r="G48" s="170" t="e">
        <f>+#REF!</f>
        <v>#REF!</v>
      </c>
      <c r="H48" s="170" t="e">
        <f>+#REF!</f>
        <v>#REF!</v>
      </c>
      <c r="I48" s="170" t="e">
        <f>+#REF!</f>
        <v>#REF!</v>
      </c>
      <c r="J48" s="170" t="e">
        <f>+#REF!</f>
        <v>#REF!</v>
      </c>
      <c r="K48" s="170"/>
      <c r="L48" s="170" t="e">
        <f>+C48+D48+E48-G48-H48-I48-J48</f>
        <v>#REF!</v>
      </c>
      <c r="M48" s="170" t="e">
        <f>+C48+D48+E48-G48-H48</f>
        <v>#REF!</v>
      </c>
      <c r="N48" s="170" t="e">
        <f>+#REF!</f>
        <v>#REF!</v>
      </c>
      <c r="O48" s="170" t="e">
        <f>+'C&amp;A'!#REF!*0.02</f>
        <v>#REF!</v>
      </c>
      <c r="P48" s="170" t="e">
        <f>SUM(M48:O48)</f>
        <v>#REF!</v>
      </c>
      <c r="Q48" s="170" t="e">
        <f>+P48*0.16</f>
        <v>#REF!</v>
      </c>
      <c r="R48" s="170" t="e">
        <f>+P48+Q48</f>
        <v>#REF!</v>
      </c>
      <c r="S48" s="275"/>
      <c r="T48" s="171" t="e">
        <f>+M48-'C&amp;A'!#REF!-SINDICATO!#REF!</f>
        <v>#REF!</v>
      </c>
      <c r="U48" s="133"/>
      <c r="V48" s="236" t="s">
        <v>186</v>
      </c>
      <c r="W48" s="236" t="s">
        <v>200</v>
      </c>
      <c r="X48" s="237" t="s">
        <v>64</v>
      </c>
      <c r="Y48" s="236" t="s">
        <v>48</v>
      </c>
      <c r="Z48" s="214"/>
      <c r="AA48" s="214"/>
      <c r="AB48" s="214"/>
      <c r="AC48" s="214"/>
      <c r="AD48" s="216"/>
      <c r="AE48" s="216"/>
      <c r="AF48" s="216"/>
      <c r="AG48" s="216"/>
      <c r="AH48" s="216"/>
      <c r="AI48" s="216"/>
      <c r="AJ48" s="219">
        <f>SUM(AD48:AI48)</f>
        <v>0</v>
      </c>
      <c r="AK48" s="220"/>
      <c r="AL48" s="221"/>
      <c r="AM48" s="221"/>
      <c r="AN48" s="221"/>
      <c r="AO48" s="221"/>
      <c r="AP48" s="219">
        <f>+AJ48-AK48</f>
        <v>0</v>
      </c>
      <c r="AQ48" s="222">
        <f>+AP48*0.05</f>
        <v>0</v>
      </c>
      <c r="AR48" s="219">
        <f>+AP48-AL48-AO48</f>
        <v>0</v>
      </c>
      <c r="AS48" s="223">
        <f>IF(AP48&lt;3000,AP48*0.1,0)</f>
        <v>0</v>
      </c>
      <c r="AT48" s="222">
        <v>0</v>
      </c>
      <c r="AU48" s="219">
        <f>+AP48+AS48+AT48</f>
        <v>0</v>
      </c>
      <c r="AV48" s="226"/>
      <c r="AW48" s="226"/>
      <c r="AX48" s="224">
        <f t="shared" si="31"/>
        <v>0</v>
      </c>
      <c r="AZ48" s="24"/>
      <c r="BA48" s="24"/>
      <c r="BB48" s="224">
        <f t="shared" si="30"/>
        <v>0</v>
      </c>
    </row>
    <row r="49" spans="1:54" x14ac:dyDescent="0.25">
      <c r="V49" s="228"/>
      <c r="W49" s="225"/>
      <c r="X49" s="225"/>
      <c r="Y49" s="225"/>
      <c r="Z49" s="225"/>
      <c r="AA49" s="225"/>
      <c r="AB49" s="225"/>
      <c r="AC49" s="225"/>
      <c r="AD49" s="217"/>
      <c r="AE49" s="217"/>
      <c r="AF49" s="217"/>
      <c r="AG49" s="217"/>
      <c r="AH49" s="217"/>
      <c r="AI49" s="217"/>
      <c r="AJ49" s="219">
        <f>SUM(AD49:AI49)</f>
        <v>0</v>
      </c>
      <c r="AK49" s="220"/>
      <c r="AL49" s="221"/>
      <c r="AM49" s="221"/>
      <c r="AN49" s="221"/>
      <c r="AO49" s="221"/>
      <c r="AP49" s="219">
        <f>+AJ49-AK49</f>
        <v>0</v>
      </c>
      <c r="AQ49" s="222">
        <f>+AP49*0.05</f>
        <v>0</v>
      </c>
      <c r="AR49" s="219">
        <f>+AP49-AL49-AO49</f>
        <v>0</v>
      </c>
      <c r="AS49" s="223">
        <f>IF(AP49&lt;3000,AP49*0.1,0)</f>
        <v>0</v>
      </c>
      <c r="AT49" s="222">
        <v>0</v>
      </c>
      <c r="AU49" s="219">
        <f>+AP49+AS49+AT49</f>
        <v>0</v>
      </c>
      <c r="AV49" s="24"/>
      <c r="AW49" s="24"/>
      <c r="AX49" s="224">
        <f t="shared" si="31"/>
        <v>0</v>
      </c>
      <c r="AZ49" s="226"/>
      <c r="BA49" s="226"/>
      <c r="BB49" s="227"/>
    </row>
    <row r="50" spans="1:54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33"/>
      <c r="AU50" s="208">
        <f>SUM(AU48:AU49)</f>
        <v>0</v>
      </c>
      <c r="AV50" s="24"/>
      <c r="AW50" s="24"/>
      <c r="AX50" s="224">
        <f t="shared" si="31"/>
        <v>0</v>
      </c>
      <c r="AZ50" s="24"/>
      <c r="BA50" s="24"/>
      <c r="BB50" s="224">
        <f>+AY50-AZ50-BA50</f>
        <v>0</v>
      </c>
    </row>
    <row r="51" spans="1:54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33"/>
      <c r="W51" s="238" t="s">
        <v>206</v>
      </c>
      <c r="X51" s="238"/>
      <c r="AU51" s="208">
        <f>+AU50*0.16</f>
        <v>0</v>
      </c>
      <c r="AV51" s="24"/>
      <c r="AW51" s="24"/>
      <c r="AX51" s="224">
        <f t="shared" si="31"/>
        <v>0</v>
      </c>
      <c r="AZ51" s="24"/>
      <c r="BA51" s="24"/>
      <c r="BB51" s="224">
        <f>+AY51-AZ51-BA51</f>
        <v>0</v>
      </c>
    </row>
    <row r="52" spans="1:54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33"/>
      <c r="W52" s="238"/>
      <c r="X52" s="238"/>
      <c r="AU52" s="208">
        <f>+AU50+AU51</f>
        <v>0</v>
      </c>
      <c r="AV52" s="226"/>
      <c r="AW52" s="226"/>
      <c r="AX52" s="224">
        <f t="shared" si="31"/>
        <v>0</v>
      </c>
      <c r="AZ52" s="24"/>
      <c r="BA52" s="24"/>
      <c r="BB52" s="224">
        <f>+AY52-AZ52-BA52</f>
        <v>0</v>
      </c>
    </row>
    <row r="53" spans="1:54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33"/>
      <c r="W53" s="238"/>
      <c r="X53" s="238"/>
      <c r="AV53" s="24"/>
      <c r="AW53" s="24"/>
      <c r="AX53" s="24"/>
      <c r="AZ53" s="226"/>
      <c r="BA53" s="226"/>
      <c r="BB53" s="227"/>
    </row>
    <row r="54" spans="1:54" x14ac:dyDescent="0.25">
      <c r="W54" s="238" t="s">
        <v>207</v>
      </c>
      <c r="X54" s="238"/>
      <c r="AU54" s="208">
        <f>+AU45+AU52</f>
        <v>9834.6015680000019</v>
      </c>
      <c r="AV54" s="24"/>
      <c r="AW54" s="24"/>
      <c r="AX54" s="24"/>
      <c r="AZ54" s="24"/>
      <c r="BA54" s="24"/>
      <c r="BB54" s="224">
        <f t="shared" ref="BB54:BB71" si="32">+AY54-AZ54-BA54</f>
        <v>0</v>
      </c>
    </row>
    <row r="55" spans="1:54" x14ac:dyDescent="0.25">
      <c r="W55" s="24"/>
      <c r="AV55" s="24"/>
      <c r="AW55" s="24"/>
      <c r="AX55" s="24"/>
      <c r="AZ55" s="24"/>
      <c r="BA55" s="24"/>
      <c r="BB55" s="224">
        <f t="shared" si="32"/>
        <v>0</v>
      </c>
    </row>
    <row r="56" spans="1:54" x14ac:dyDescent="0.25">
      <c r="W56" s="24"/>
      <c r="AV56" s="24"/>
      <c r="AW56" s="24"/>
      <c r="AX56" s="24"/>
      <c r="AZ56" s="24"/>
      <c r="BA56" s="24"/>
      <c r="BB56" s="224">
        <f t="shared" si="32"/>
        <v>0</v>
      </c>
    </row>
    <row r="57" spans="1:54" x14ac:dyDescent="0.25">
      <c r="W57" s="24"/>
      <c r="AV57" s="24"/>
      <c r="AW57" s="24"/>
      <c r="AX57" s="24"/>
      <c r="AZ57" s="24"/>
      <c r="BA57" s="24"/>
      <c r="BB57" s="224">
        <f t="shared" si="32"/>
        <v>0</v>
      </c>
    </row>
    <row r="58" spans="1:54" x14ac:dyDescent="0.25">
      <c r="W58" s="24"/>
      <c r="AV58" s="24"/>
      <c r="AW58" s="24"/>
      <c r="AX58" s="24"/>
      <c r="AZ58" s="24"/>
      <c r="BA58" s="24"/>
      <c r="BB58" s="224">
        <f t="shared" si="32"/>
        <v>0</v>
      </c>
    </row>
    <row r="59" spans="1:54" x14ac:dyDescent="0.25">
      <c r="AV59" s="24"/>
      <c r="AW59" s="24"/>
      <c r="AX59" s="24"/>
      <c r="AZ59" s="24"/>
      <c r="BA59" s="24"/>
      <c r="BB59" s="224">
        <f t="shared" si="32"/>
        <v>0</v>
      </c>
    </row>
    <row r="60" spans="1:54" x14ac:dyDescent="0.25">
      <c r="AV60" s="24"/>
      <c r="AW60" s="24"/>
      <c r="AX60" s="24"/>
      <c r="AZ60" s="24"/>
      <c r="BA60" s="24"/>
      <c r="BB60" s="224">
        <f t="shared" si="32"/>
        <v>0</v>
      </c>
    </row>
    <row r="61" spans="1:54" x14ac:dyDescent="0.25">
      <c r="V61" s="233" t="s">
        <v>208</v>
      </c>
      <c r="W61" s="207"/>
      <c r="AV61" s="24"/>
      <c r="AW61" s="24"/>
      <c r="AX61" s="24"/>
      <c r="AZ61" s="24"/>
      <c r="BA61" s="24"/>
      <c r="BB61" s="224">
        <f t="shared" si="32"/>
        <v>0</v>
      </c>
    </row>
    <row r="62" spans="1:54" x14ac:dyDescent="0.25">
      <c r="V62" s="233" t="s">
        <v>209</v>
      </c>
      <c r="W62" s="207"/>
      <c r="AV62" s="24"/>
      <c r="AW62" s="24"/>
      <c r="AX62" s="24"/>
      <c r="AZ62" s="24"/>
      <c r="BA62" s="24"/>
      <c r="BB62" s="224">
        <f t="shared" si="32"/>
        <v>0</v>
      </c>
    </row>
    <row r="63" spans="1:54" x14ac:dyDescent="0.25">
      <c r="V63" s="233" t="s">
        <v>210</v>
      </c>
      <c r="W63" s="207"/>
      <c r="AV63" s="24"/>
      <c r="AW63" s="24"/>
      <c r="AX63" s="24"/>
      <c r="AZ63" s="24"/>
      <c r="BA63" s="24"/>
      <c r="BB63" s="224">
        <f t="shared" si="32"/>
        <v>0</v>
      </c>
    </row>
    <row r="64" spans="1:54" x14ac:dyDescent="0.25">
      <c r="V64" s="233" t="s">
        <v>211</v>
      </c>
      <c r="W64" s="207"/>
      <c r="AV64" s="24"/>
      <c r="AW64" s="24"/>
      <c r="AX64" s="24"/>
      <c r="AZ64" s="24"/>
      <c r="BA64" s="24"/>
      <c r="BB64" s="224">
        <f t="shared" si="32"/>
        <v>0</v>
      </c>
    </row>
    <row r="65" spans="22:54" x14ac:dyDescent="0.25">
      <c r="V65" s="233" t="s">
        <v>212</v>
      </c>
      <c r="W65" s="207"/>
      <c r="AV65" s="24"/>
      <c r="AW65" s="24"/>
      <c r="AX65" s="24"/>
      <c r="AZ65" s="24"/>
      <c r="BA65" s="24"/>
      <c r="BB65" s="224">
        <f t="shared" si="32"/>
        <v>0</v>
      </c>
    </row>
    <row r="66" spans="22:54" x14ac:dyDescent="0.25">
      <c r="V66" s="233" t="s">
        <v>213</v>
      </c>
      <c r="W66" s="207"/>
      <c r="AV66" s="24"/>
      <c r="AW66" s="24"/>
      <c r="AX66" s="24"/>
      <c r="AZ66" s="24"/>
      <c r="BA66" s="24"/>
      <c r="BB66" s="224">
        <f t="shared" si="32"/>
        <v>0</v>
      </c>
    </row>
    <row r="67" spans="22:54" x14ac:dyDescent="0.25">
      <c r="AV67" s="24"/>
      <c r="AW67" s="24"/>
      <c r="AX67" s="24"/>
      <c r="AZ67" s="24"/>
      <c r="BA67" s="24"/>
      <c r="BB67" s="224">
        <f t="shared" si="32"/>
        <v>0</v>
      </c>
    </row>
    <row r="68" spans="22:54" x14ac:dyDescent="0.25">
      <c r="AV68" s="24"/>
      <c r="AW68" s="24"/>
      <c r="AX68" s="24"/>
      <c r="AZ68" s="24"/>
      <c r="BA68" s="24"/>
      <c r="BB68" s="224">
        <f t="shared" si="32"/>
        <v>0</v>
      </c>
    </row>
    <row r="69" spans="22:54" x14ac:dyDescent="0.25">
      <c r="AV69" s="24"/>
      <c r="AW69" s="24"/>
      <c r="AX69" s="24"/>
      <c r="AZ69" s="24"/>
      <c r="BA69" s="24"/>
      <c r="BB69" s="224">
        <f t="shared" si="32"/>
        <v>0</v>
      </c>
    </row>
    <row r="70" spans="22:54" x14ac:dyDescent="0.25">
      <c r="AV70" s="24"/>
      <c r="AW70" s="24"/>
      <c r="AX70" s="24"/>
      <c r="AZ70" s="24"/>
      <c r="BA70" s="24"/>
      <c r="BB70" s="224">
        <f t="shared" si="32"/>
        <v>0</v>
      </c>
    </row>
    <row r="71" spans="22:54" x14ac:dyDescent="0.25">
      <c r="AV71" s="226"/>
      <c r="AW71" s="226"/>
      <c r="AX71" s="226"/>
      <c r="AZ71" s="24"/>
      <c r="BA71" s="24"/>
      <c r="BB71" s="224">
        <f t="shared" si="32"/>
        <v>0</v>
      </c>
    </row>
    <row r="72" spans="22:54" x14ac:dyDescent="0.25">
      <c r="AV72" s="24"/>
      <c r="AW72" s="24"/>
      <c r="AX72" s="24"/>
      <c r="AZ72" s="226"/>
      <c r="BA72" s="226"/>
      <c r="BB72" s="227"/>
    </row>
    <row r="73" spans="22:54" x14ac:dyDescent="0.25">
      <c r="AV73" s="24"/>
      <c r="AW73" s="24"/>
      <c r="AX73" s="24"/>
      <c r="AZ73" s="24"/>
      <c r="BA73" s="24"/>
      <c r="BB73" s="224">
        <f t="shared" ref="BB73:BB81" si="33">+AY73-AZ73-BA73</f>
        <v>0</v>
      </c>
    </row>
    <row r="74" spans="22:54" x14ac:dyDescent="0.25">
      <c r="AV74" s="24"/>
      <c r="AW74" s="24"/>
      <c r="AX74" s="24"/>
      <c r="AZ74" s="24"/>
      <c r="BA74" s="24"/>
      <c r="BB74" s="224">
        <f t="shared" si="33"/>
        <v>0</v>
      </c>
    </row>
    <row r="75" spans="22:54" x14ac:dyDescent="0.25">
      <c r="AV75" s="24"/>
      <c r="AW75" s="24"/>
      <c r="AX75" s="24"/>
      <c r="AZ75" s="24"/>
      <c r="BA75" s="24"/>
      <c r="BB75" s="224">
        <f t="shared" si="33"/>
        <v>0</v>
      </c>
    </row>
    <row r="76" spans="22:54" x14ac:dyDescent="0.25">
      <c r="AV76" s="24"/>
      <c r="AW76" s="24"/>
      <c r="AX76" s="24"/>
      <c r="AZ76" s="24"/>
      <c r="BA76" s="24"/>
      <c r="BB76" s="224">
        <f t="shared" si="33"/>
        <v>0</v>
      </c>
    </row>
    <row r="77" spans="22:54" x14ac:dyDescent="0.25">
      <c r="AV77" s="24"/>
      <c r="AW77" s="24"/>
      <c r="AX77" s="24"/>
      <c r="AZ77" s="24"/>
      <c r="BA77" s="24"/>
      <c r="BB77" s="224">
        <f t="shared" si="33"/>
        <v>0</v>
      </c>
    </row>
    <row r="78" spans="22:54" x14ac:dyDescent="0.25">
      <c r="AV78" s="24"/>
      <c r="AW78" s="24"/>
      <c r="AX78" s="24"/>
      <c r="AZ78" s="24"/>
      <c r="BA78" s="24"/>
      <c r="BB78" s="224">
        <f t="shared" si="33"/>
        <v>0</v>
      </c>
    </row>
    <row r="79" spans="22:54" x14ac:dyDescent="0.25">
      <c r="AV79" s="24"/>
      <c r="AW79" s="24"/>
      <c r="AX79" s="24"/>
      <c r="AZ79" s="24"/>
      <c r="BA79" s="24"/>
      <c r="BB79" s="224">
        <f t="shared" si="33"/>
        <v>0</v>
      </c>
    </row>
    <row r="80" spans="22:54" x14ac:dyDescent="0.25">
      <c r="AV80" s="24"/>
      <c r="AW80" s="24"/>
      <c r="AX80" s="24"/>
      <c r="AZ80" s="24"/>
      <c r="BA80" s="24"/>
      <c r="BB80" s="224">
        <f t="shared" si="33"/>
        <v>0</v>
      </c>
    </row>
    <row r="81" spans="48:54" x14ac:dyDescent="0.25">
      <c r="AV81" s="226"/>
      <c r="AW81" s="226"/>
      <c r="AX81" s="226"/>
      <c r="AZ81" s="24"/>
      <c r="BA81" s="24"/>
      <c r="BB81" s="224">
        <f t="shared" si="33"/>
        <v>0</v>
      </c>
    </row>
    <row r="82" spans="48:54" x14ac:dyDescent="0.25">
      <c r="AV82" s="24"/>
      <c r="AW82" s="24"/>
      <c r="AX82" s="24"/>
      <c r="AZ82" s="226"/>
      <c r="BA82" s="226"/>
      <c r="BB82" s="227"/>
    </row>
    <row r="83" spans="48:54" x14ac:dyDescent="0.25">
      <c r="AV83" s="24"/>
      <c r="AW83" s="24"/>
      <c r="AX83" s="24"/>
      <c r="AZ83" s="24"/>
      <c r="BA83" s="24"/>
      <c r="BB83" s="224">
        <f t="shared" ref="BB83:BB94" si="34">+AY83-AZ83-BA83</f>
        <v>0</v>
      </c>
    </row>
    <row r="84" spans="48:54" x14ac:dyDescent="0.25">
      <c r="AV84" s="24"/>
      <c r="AW84" s="24"/>
      <c r="AX84" s="24"/>
      <c r="AZ84" s="24"/>
      <c r="BA84" s="24"/>
      <c r="BB84" s="224">
        <f t="shared" si="34"/>
        <v>0</v>
      </c>
    </row>
    <row r="85" spans="48:54" x14ac:dyDescent="0.25">
      <c r="AV85" s="24"/>
      <c r="AW85" s="24"/>
      <c r="AX85" s="24"/>
      <c r="AZ85" s="24"/>
      <c r="BA85" s="24"/>
      <c r="BB85" s="224">
        <f t="shared" si="34"/>
        <v>0</v>
      </c>
    </row>
    <row r="86" spans="48:54" x14ac:dyDescent="0.25">
      <c r="AV86" s="24"/>
      <c r="AW86" s="24"/>
      <c r="AX86" s="24"/>
      <c r="AZ86" s="24"/>
      <c r="BA86" s="24"/>
      <c r="BB86" s="224">
        <f t="shared" si="34"/>
        <v>0</v>
      </c>
    </row>
    <row r="87" spans="48:54" x14ac:dyDescent="0.25">
      <c r="AV87" s="24"/>
      <c r="AW87" s="24"/>
      <c r="AX87" s="24"/>
      <c r="AZ87" s="24"/>
      <c r="BA87" s="24"/>
      <c r="BB87" s="224">
        <f t="shared" si="34"/>
        <v>0</v>
      </c>
    </row>
    <row r="88" spans="48:54" x14ac:dyDescent="0.25">
      <c r="AV88" s="24"/>
      <c r="AW88" s="24"/>
      <c r="AX88" s="24"/>
      <c r="AZ88" s="24"/>
      <c r="BA88" s="24"/>
      <c r="BB88" s="224">
        <f t="shared" si="34"/>
        <v>0</v>
      </c>
    </row>
    <row r="89" spans="48:54" x14ac:dyDescent="0.25">
      <c r="AV89" s="24"/>
      <c r="AW89" s="24"/>
      <c r="AX89" s="24"/>
      <c r="AZ89" s="24"/>
      <c r="BA89" s="24"/>
      <c r="BB89" s="224">
        <f t="shared" si="34"/>
        <v>0</v>
      </c>
    </row>
    <row r="90" spans="48:54" x14ac:dyDescent="0.25">
      <c r="AV90" s="24"/>
      <c r="AW90" s="24"/>
      <c r="AX90" s="24"/>
      <c r="AZ90" s="24"/>
      <c r="BA90" s="24"/>
      <c r="BB90" s="224">
        <f t="shared" si="34"/>
        <v>0</v>
      </c>
    </row>
    <row r="91" spans="48:54" x14ac:dyDescent="0.25">
      <c r="AV91" s="24"/>
      <c r="AW91" s="24"/>
      <c r="AX91" s="24"/>
      <c r="AZ91" s="24"/>
      <c r="BA91" s="24"/>
      <c r="BB91" s="224">
        <f t="shared" si="34"/>
        <v>0</v>
      </c>
    </row>
    <row r="92" spans="48:54" x14ac:dyDescent="0.25">
      <c r="AV92" s="24"/>
      <c r="AW92" s="24"/>
      <c r="AX92" s="24"/>
      <c r="AZ92" s="24"/>
      <c r="BA92" s="24"/>
      <c r="BB92" s="224">
        <f t="shared" si="34"/>
        <v>0</v>
      </c>
    </row>
    <row r="93" spans="48:54" x14ac:dyDescent="0.25">
      <c r="AV93" s="24"/>
      <c r="AW93" s="24"/>
      <c r="AX93" s="24"/>
      <c r="AZ93" s="24"/>
      <c r="BA93" s="24"/>
      <c r="BB93" s="224">
        <f t="shared" si="34"/>
        <v>0</v>
      </c>
    </row>
    <row r="94" spans="48:54" x14ac:dyDescent="0.25">
      <c r="AV94" s="24"/>
      <c r="AW94" s="24"/>
      <c r="AX94" s="24"/>
      <c r="AZ94" s="24"/>
      <c r="BA94" s="24"/>
      <c r="BB94" s="224">
        <f t="shared" si="34"/>
        <v>0</v>
      </c>
    </row>
    <row r="95" spans="48:54" x14ac:dyDescent="0.25">
      <c r="AV95" s="24"/>
      <c r="AW95" s="24"/>
      <c r="AX95" s="24"/>
      <c r="AZ95" s="24"/>
      <c r="BA95" s="24"/>
      <c r="BB95" s="24"/>
    </row>
    <row r="96" spans="48:54" x14ac:dyDescent="0.25">
      <c r="AV96" s="24"/>
      <c r="AW96" s="24"/>
      <c r="AX96" s="24"/>
      <c r="AZ96" s="24"/>
      <c r="BA96" s="24"/>
      <c r="BB96" s="24"/>
    </row>
    <row r="97" spans="48:54" x14ac:dyDescent="0.25">
      <c r="AV97" s="24"/>
      <c r="AW97" s="24"/>
      <c r="AX97" s="24"/>
      <c r="AZ97" s="24"/>
      <c r="BA97" s="24"/>
      <c r="BB97" s="24"/>
    </row>
    <row r="98" spans="48:54" x14ac:dyDescent="0.25">
      <c r="AV98" s="24"/>
      <c r="AW98" s="24"/>
      <c r="AX98" s="24"/>
      <c r="AZ98" s="24"/>
      <c r="BA98" s="24"/>
      <c r="BB98" s="24"/>
    </row>
    <row r="99" spans="48:54" ht="15.75" thickBot="1" x14ac:dyDescent="0.3">
      <c r="AV99" s="235">
        <f>SUM(AV10:AV98)</f>
        <v>0</v>
      </c>
      <c r="AW99" s="235">
        <f>SUM(AW10:AW98)</f>
        <v>0</v>
      </c>
      <c r="AX99" s="239"/>
      <c r="AZ99" s="24"/>
      <c r="BA99" s="24"/>
      <c r="BB99" s="24"/>
    </row>
    <row r="100" spans="48:54" ht="16.5" thickTop="1" thickBot="1" x14ac:dyDescent="0.3">
      <c r="AV100" s="208"/>
      <c r="AW100" s="208"/>
      <c r="AX100" s="208"/>
      <c r="AZ100" s="235">
        <f>SUM(AZ10:AZ99)</f>
        <v>0</v>
      </c>
      <c r="BA100" s="235">
        <f>SUM(BA10:BA99)</f>
        <v>0</v>
      </c>
      <c r="BB100" s="235">
        <f>SUM(BB10:BB99)</f>
        <v>12786.08299999997</v>
      </c>
    </row>
    <row r="101" spans="48:54" ht="15.75" thickTop="1" x14ac:dyDescent="0.25">
      <c r="AV101" s="208"/>
      <c r="AW101" s="208"/>
      <c r="AX101" s="208"/>
      <c r="AZ101" s="208"/>
      <c r="BA101" s="208"/>
      <c r="BB101" s="208"/>
    </row>
    <row r="102" spans="48:54" x14ac:dyDescent="0.25">
      <c r="AV102" s="219" t="e">
        <f>+AO102+#REF!+AU102</f>
        <v>#REF!</v>
      </c>
      <c r="AW102" s="219" t="e">
        <f>+AP102+AU102+AV102</f>
        <v>#REF!</v>
      </c>
      <c r="AX102" s="240"/>
      <c r="AZ102" s="208"/>
      <c r="BA102" s="208"/>
      <c r="BB102" s="208"/>
    </row>
    <row r="103" spans="48:54" x14ac:dyDescent="0.25">
      <c r="AV103" s="219" t="e">
        <f>+AO103+#REF!+AU103</f>
        <v>#REF!</v>
      </c>
      <c r="AW103" s="219" t="e">
        <f>+AP103+AU103+AV103</f>
        <v>#REF!</v>
      </c>
      <c r="AX103" s="240"/>
      <c r="AZ103" s="219" t="e">
        <f>+AP103+#REF!+AY103</f>
        <v>#REF!</v>
      </c>
      <c r="BA103" s="219" t="e">
        <f>+AQ103+AY103+AZ103</f>
        <v>#REF!</v>
      </c>
      <c r="BB103" s="219" t="e">
        <f>+AR103+AZ103+BA103</f>
        <v>#REF!</v>
      </c>
    </row>
    <row r="104" spans="48:54" x14ac:dyDescent="0.25">
      <c r="AZ104" s="219" t="e">
        <f>+AP104+#REF!+AY104</f>
        <v>#REF!</v>
      </c>
      <c r="BA104" s="219" t="e">
        <f>+AQ104+AY104+AZ104</f>
        <v>#REF!</v>
      </c>
      <c r="BB104" s="219" t="e">
        <f>+AR104+AZ104+BA104</f>
        <v>#REF!</v>
      </c>
    </row>
  </sheetData>
  <autoFilter ref="A9:BI38">
    <filterColumn colId="21">
      <filters>
        <filter val="ADMON SERVICIO"/>
      </filters>
    </filterColumn>
  </autoFilter>
  <sortState ref="S10:BK42">
    <sortCondition ref="T10:T42"/>
  </sortState>
  <mergeCells count="29">
    <mergeCell ref="AO5:AO6"/>
    <mergeCell ref="AP5:AP6"/>
    <mergeCell ref="B1:C1"/>
    <mergeCell ref="V5:V6"/>
    <mergeCell ref="W5:W6"/>
    <mergeCell ref="X5:X6"/>
    <mergeCell ref="Y5:Y6"/>
    <mergeCell ref="BC5:BC6"/>
    <mergeCell ref="AQ5:AQ6"/>
    <mergeCell ref="AR5:AR6"/>
    <mergeCell ref="AS5:AS6"/>
    <mergeCell ref="AT5:AT6"/>
    <mergeCell ref="AU5:AU6"/>
    <mergeCell ref="A43:B43"/>
    <mergeCell ref="AV5:AW5"/>
    <mergeCell ref="AY5:AY6"/>
    <mergeCell ref="AZ5:BA5"/>
    <mergeCell ref="BB5:BB6"/>
    <mergeCell ref="AI5:AI6"/>
    <mergeCell ref="AJ5:AJ6"/>
    <mergeCell ref="AK5:AK6"/>
    <mergeCell ref="AL5:AL6"/>
    <mergeCell ref="AM5:AM6"/>
    <mergeCell ref="Z5:Z6"/>
    <mergeCell ref="AA5:AA6"/>
    <mergeCell ref="AD5:AD6"/>
    <mergeCell ref="AG5:AG6"/>
    <mergeCell ref="AH5:AH6"/>
    <mergeCell ref="AN5:AN6"/>
  </mergeCells>
  <pageMargins left="0.70866141732283472" right="0.70866141732283472" top="0.74803149606299213" bottom="0.74803149606299213" header="0.31496062992125984" footer="0.31496062992125984"/>
  <pageSetup scale="2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2"/>
  <sheetViews>
    <sheetView workbookViewId="0">
      <pane xSplit="2" ySplit="9" topLeftCell="E26" activePane="bottomRight" state="frozen"/>
      <selection pane="topRight" activeCell="C1" sqref="C1"/>
      <selection pane="bottomLeft" activeCell="A10" sqref="A10"/>
      <selection pane="bottomRight" activeCell="G10" sqref="G10:G38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customWidth="1"/>
    <col min="4" max="4" width="13" style="32" customWidth="1"/>
    <col min="5" max="5" width="13.5703125" style="2" customWidth="1"/>
    <col min="6" max="6" width="13" style="2" customWidth="1"/>
    <col min="7" max="7" width="13" style="120" customWidth="1"/>
    <col min="8" max="10" width="13" style="2" customWidth="1"/>
    <col min="11" max="12" width="11.42578125" style="2"/>
    <col min="13" max="13" width="41.42578125" style="2" bestFit="1" customWidth="1"/>
    <col min="14" max="16384" width="11.42578125" style="2"/>
  </cols>
  <sheetData>
    <row r="1" spans="1:16" ht="18" customHeight="1" x14ac:dyDescent="0.25">
      <c r="A1" s="4" t="s">
        <v>0</v>
      </c>
      <c r="B1" s="305" t="s">
        <v>17</v>
      </c>
      <c r="C1" s="306"/>
      <c r="D1" s="33"/>
    </row>
    <row r="2" spans="1:16" ht="24.95" customHeight="1" x14ac:dyDescent="0.2">
      <c r="A2" s="5" t="s">
        <v>1</v>
      </c>
      <c r="B2" s="67" t="s">
        <v>2</v>
      </c>
      <c r="C2" s="10"/>
      <c r="D2" s="10"/>
    </row>
    <row r="3" spans="1:16" ht="15" x14ac:dyDescent="0.2">
      <c r="B3" s="68" t="s">
        <v>3</v>
      </c>
      <c r="C3" s="55"/>
      <c r="D3" s="55"/>
    </row>
    <row r="4" spans="1:16" ht="15" x14ac:dyDescent="0.25">
      <c r="B4" s="307" t="str">
        <f>+FACTURACIÓN!B4</f>
        <v>Periodo 9 al 9 Semanal del 24/02/2016 al 01/03/2016</v>
      </c>
      <c r="C4" s="306"/>
      <c r="D4" s="306"/>
    </row>
    <row r="5" spans="1:16" ht="15" x14ac:dyDescent="0.25">
      <c r="B5" s="65" t="s">
        <v>4</v>
      </c>
      <c r="C5" s="44"/>
      <c r="D5" s="44"/>
    </row>
    <row r="6" spans="1:16" ht="15" x14ac:dyDescent="0.25">
      <c r="B6" s="65" t="s">
        <v>5</v>
      </c>
      <c r="C6" s="44"/>
      <c r="D6" s="44"/>
    </row>
    <row r="7" spans="1:16" x14ac:dyDescent="0.2">
      <c r="B7" s="65"/>
    </row>
    <row r="8" spans="1:16" s="6" customFormat="1" ht="23.25" thickBot="1" x14ac:dyDescent="0.25">
      <c r="A8" s="7" t="s">
        <v>6</v>
      </c>
      <c r="B8" s="8" t="s">
        <v>7</v>
      </c>
      <c r="C8" s="34" t="s">
        <v>8</v>
      </c>
      <c r="D8" s="34" t="s">
        <v>66</v>
      </c>
      <c r="E8" s="35" t="s">
        <v>9</v>
      </c>
      <c r="F8" s="34" t="s">
        <v>10</v>
      </c>
      <c r="G8" s="13" t="s">
        <v>31</v>
      </c>
      <c r="H8" s="34" t="s">
        <v>11</v>
      </c>
      <c r="I8" s="35" t="s">
        <v>12</v>
      </c>
      <c r="J8" s="36" t="s">
        <v>13</v>
      </c>
    </row>
    <row r="9" spans="1:16" s="48" customFormat="1" ht="12" thickTop="1" x14ac:dyDescent="0.2">
      <c r="A9" s="47"/>
    </row>
    <row r="10" spans="1:16" s="48" customFormat="1" ht="15" x14ac:dyDescent="0.25">
      <c r="A10" s="121" t="s">
        <v>219</v>
      </c>
      <c r="B10" s="120" t="s">
        <v>67</v>
      </c>
      <c r="C10" s="176">
        <v>438.24</v>
      </c>
      <c r="D10" s="176">
        <v>73.040000000000006</v>
      </c>
      <c r="E10" s="43">
        <f>SUM(C10:D10)</f>
        <v>511.28000000000003</v>
      </c>
      <c r="F10" s="177">
        <v>-66.069999999999993</v>
      </c>
      <c r="G10" s="126">
        <v>0</v>
      </c>
      <c r="H10" s="177">
        <v>-0.05</v>
      </c>
      <c r="I10" s="43">
        <f>SUM(F10:H10)</f>
        <v>-66.11999999999999</v>
      </c>
      <c r="J10" s="43">
        <f>+E10-I10</f>
        <v>577.4</v>
      </c>
      <c r="L10" s="246" t="s">
        <v>44</v>
      </c>
      <c r="M10" s="247" t="s">
        <v>43</v>
      </c>
      <c r="N10" s="188"/>
      <c r="P10" s="186"/>
    </row>
    <row r="11" spans="1:16" s="48" customFormat="1" ht="15" x14ac:dyDescent="0.25">
      <c r="A11" s="121" t="s">
        <v>220</v>
      </c>
      <c r="B11" s="120" t="s">
        <v>68</v>
      </c>
      <c r="C11" s="193">
        <v>438.24</v>
      </c>
      <c r="D11" s="193">
        <v>73.040000000000006</v>
      </c>
      <c r="E11" s="43">
        <f t="shared" ref="E11:E38" si="0">SUM(C11:D11)</f>
        <v>511.28000000000003</v>
      </c>
      <c r="F11" s="177">
        <v>-66.069999999999993</v>
      </c>
      <c r="G11" s="126">
        <v>0</v>
      </c>
      <c r="H11" s="176">
        <v>0.15</v>
      </c>
      <c r="I11" s="43">
        <f t="shared" ref="I11:I38" si="1">SUM(F11:H11)</f>
        <v>-65.919999999999987</v>
      </c>
      <c r="J11" s="43">
        <f t="shared" ref="J11:J38" si="2">+E11-I11</f>
        <v>577.20000000000005</v>
      </c>
      <c r="L11" s="246" t="s">
        <v>45</v>
      </c>
      <c r="M11" s="259" t="s">
        <v>109</v>
      </c>
      <c r="N11" s="188"/>
      <c r="P11" s="186"/>
    </row>
    <row r="12" spans="1:16" s="48" customFormat="1" ht="15" x14ac:dyDescent="0.25">
      <c r="A12" s="121" t="s">
        <v>221</v>
      </c>
      <c r="B12" s="120" t="s">
        <v>69</v>
      </c>
      <c r="C12" s="193">
        <v>401.72</v>
      </c>
      <c r="D12" s="193">
        <v>66.95</v>
      </c>
      <c r="E12" s="43">
        <f t="shared" si="0"/>
        <v>468.67</v>
      </c>
      <c r="F12" s="177">
        <v>-63.01</v>
      </c>
      <c r="G12" s="126">
        <v>0</v>
      </c>
      <c r="H12" s="176">
        <v>0.08</v>
      </c>
      <c r="I12" s="43">
        <f t="shared" si="1"/>
        <v>-62.93</v>
      </c>
      <c r="J12" s="43">
        <f t="shared" si="2"/>
        <v>531.6</v>
      </c>
      <c r="L12" s="246" t="s">
        <v>41</v>
      </c>
      <c r="M12" s="259" t="s">
        <v>103</v>
      </c>
      <c r="N12" s="188"/>
      <c r="P12" s="186"/>
    </row>
    <row r="13" spans="1:16" s="48" customFormat="1" ht="15.75" x14ac:dyDescent="0.25">
      <c r="A13" s="121" t="s">
        <v>222</v>
      </c>
      <c r="B13" s="120" t="s">
        <v>216</v>
      </c>
      <c r="C13" s="193">
        <v>438.24</v>
      </c>
      <c r="D13" s="193">
        <v>73.040000000000006</v>
      </c>
      <c r="E13" s="43">
        <f t="shared" si="0"/>
        <v>511.28000000000003</v>
      </c>
      <c r="F13" s="177">
        <v>-66.069999999999993</v>
      </c>
      <c r="G13" s="126">
        <v>0</v>
      </c>
      <c r="H13" s="176">
        <v>0.15</v>
      </c>
      <c r="I13" s="43">
        <f t="shared" si="1"/>
        <v>-65.919999999999987</v>
      </c>
      <c r="J13" s="43">
        <f t="shared" si="2"/>
        <v>577.20000000000005</v>
      </c>
      <c r="L13" s="262" t="s">
        <v>222</v>
      </c>
      <c r="M13" s="263" t="s">
        <v>214</v>
      </c>
      <c r="N13" s="188"/>
      <c r="P13" s="186"/>
    </row>
    <row r="14" spans="1:16" s="48" customFormat="1" ht="15" x14ac:dyDescent="0.25">
      <c r="A14" s="121" t="s">
        <v>223</v>
      </c>
      <c r="B14" s="120" t="s">
        <v>70</v>
      </c>
      <c r="C14" s="193">
        <v>438.24</v>
      </c>
      <c r="D14" s="193">
        <v>73.040000000000006</v>
      </c>
      <c r="E14" s="43">
        <f t="shared" si="0"/>
        <v>511.28000000000003</v>
      </c>
      <c r="F14" s="177">
        <v>-66.069999999999993</v>
      </c>
      <c r="G14" s="126">
        <v>0</v>
      </c>
      <c r="H14" s="177">
        <v>-0.05</v>
      </c>
      <c r="I14" s="43">
        <f t="shared" si="1"/>
        <v>-66.11999999999999</v>
      </c>
      <c r="J14" s="43">
        <f t="shared" si="2"/>
        <v>577.4</v>
      </c>
      <c r="L14" s="246" t="s">
        <v>36</v>
      </c>
      <c r="M14" s="247" t="s">
        <v>35</v>
      </c>
      <c r="N14" s="188"/>
      <c r="P14" s="186"/>
    </row>
    <row r="15" spans="1:16" s="48" customFormat="1" ht="15" x14ac:dyDescent="0.25">
      <c r="A15" s="121" t="s">
        <v>224</v>
      </c>
      <c r="B15" s="120" t="s">
        <v>71</v>
      </c>
      <c r="C15" s="193">
        <v>438.24</v>
      </c>
      <c r="D15" s="193">
        <v>73.040000000000006</v>
      </c>
      <c r="E15" s="43">
        <f t="shared" si="0"/>
        <v>511.28000000000003</v>
      </c>
      <c r="F15" s="177">
        <v>-66.069999999999993</v>
      </c>
      <c r="G15" s="126">
        <v>0</v>
      </c>
      <c r="H15" s="177">
        <v>-0.05</v>
      </c>
      <c r="I15" s="43">
        <f t="shared" si="1"/>
        <v>-66.11999999999999</v>
      </c>
      <c r="J15" s="43">
        <f t="shared" si="2"/>
        <v>577.4</v>
      </c>
      <c r="L15" s="246" t="s">
        <v>49</v>
      </c>
      <c r="M15" s="259" t="s">
        <v>101</v>
      </c>
      <c r="N15" s="188"/>
      <c r="P15" s="186"/>
    </row>
    <row r="16" spans="1:16" s="48" customFormat="1" ht="15" x14ac:dyDescent="0.25">
      <c r="A16" s="121" t="s">
        <v>225</v>
      </c>
      <c r="B16" s="120" t="s">
        <v>72</v>
      </c>
      <c r="C16" s="193">
        <v>438.24</v>
      </c>
      <c r="D16" s="193">
        <v>73.040000000000006</v>
      </c>
      <c r="E16" s="43">
        <f t="shared" si="0"/>
        <v>511.28000000000003</v>
      </c>
      <c r="F16" s="177">
        <v>-66.069999999999993</v>
      </c>
      <c r="G16" s="126">
        <v>0</v>
      </c>
      <c r="H16" s="177">
        <v>-0.05</v>
      </c>
      <c r="I16" s="43">
        <f t="shared" si="1"/>
        <v>-66.11999999999999</v>
      </c>
      <c r="J16" s="43">
        <f t="shared" si="2"/>
        <v>577.4</v>
      </c>
      <c r="L16" s="246" t="s">
        <v>50</v>
      </c>
      <c r="M16" s="259" t="s">
        <v>72</v>
      </c>
      <c r="N16" s="188"/>
      <c r="P16" s="186"/>
    </row>
    <row r="17" spans="1:16" s="48" customFormat="1" ht="15" x14ac:dyDescent="0.25">
      <c r="A17" s="174" t="s">
        <v>290</v>
      </c>
      <c r="B17" s="173" t="s">
        <v>292</v>
      </c>
      <c r="C17" s="193">
        <v>438.24</v>
      </c>
      <c r="D17" s="193">
        <v>73.040000000000006</v>
      </c>
      <c r="E17" s="43">
        <f t="shared" si="0"/>
        <v>511.28000000000003</v>
      </c>
      <c r="F17" s="177">
        <v>-66.069999999999993</v>
      </c>
      <c r="G17" s="126">
        <v>0</v>
      </c>
      <c r="H17" s="177">
        <v>-0.03</v>
      </c>
      <c r="I17" s="43">
        <f t="shared" si="1"/>
        <v>-66.099999999999994</v>
      </c>
      <c r="J17" s="43">
        <f t="shared" si="2"/>
        <v>577.38</v>
      </c>
      <c r="L17" s="246" t="s">
        <v>290</v>
      </c>
      <c r="M17" s="259" t="s">
        <v>292</v>
      </c>
      <c r="N17" s="188"/>
      <c r="P17" s="186"/>
    </row>
    <row r="18" spans="1:16" s="48" customFormat="1" ht="15" x14ac:dyDescent="0.25">
      <c r="A18" s="121" t="s">
        <v>226</v>
      </c>
      <c r="B18" s="120" t="s">
        <v>74</v>
      </c>
      <c r="C18" s="193">
        <v>438.24</v>
      </c>
      <c r="D18" s="193">
        <v>73.040000000000006</v>
      </c>
      <c r="E18" s="43">
        <f t="shared" si="0"/>
        <v>511.28000000000003</v>
      </c>
      <c r="F18" s="177">
        <v>-66.069999999999993</v>
      </c>
      <c r="G18" s="126">
        <v>0</v>
      </c>
      <c r="H18" s="176">
        <v>0.15</v>
      </c>
      <c r="I18" s="43">
        <f t="shared" si="1"/>
        <v>-65.919999999999987</v>
      </c>
      <c r="J18" s="43">
        <f t="shared" si="2"/>
        <v>577.20000000000005</v>
      </c>
      <c r="L18" s="246" t="s">
        <v>73</v>
      </c>
      <c r="M18" s="259" t="s">
        <v>74</v>
      </c>
      <c r="N18" s="188"/>
      <c r="P18" s="186"/>
    </row>
    <row r="19" spans="1:16" s="48" customFormat="1" ht="15" x14ac:dyDescent="0.25">
      <c r="A19" s="121" t="s">
        <v>227</v>
      </c>
      <c r="B19" s="120" t="s">
        <v>75</v>
      </c>
      <c r="C19" s="193">
        <v>438.24</v>
      </c>
      <c r="D19" s="193">
        <v>73.040000000000006</v>
      </c>
      <c r="E19" s="43">
        <f t="shared" si="0"/>
        <v>511.28000000000003</v>
      </c>
      <c r="F19" s="177">
        <v>-66.069999999999993</v>
      </c>
      <c r="G19" s="126">
        <v>0</v>
      </c>
      <c r="H19" s="177">
        <v>-0.05</v>
      </c>
      <c r="I19" s="43">
        <f t="shared" si="1"/>
        <v>-66.11999999999999</v>
      </c>
      <c r="J19" s="43">
        <f t="shared" si="2"/>
        <v>577.4</v>
      </c>
      <c r="L19" s="246" t="s">
        <v>51</v>
      </c>
      <c r="M19" s="259" t="s">
        <v>105</v>
      </c>
      <c r="N19" s="188"/>
      <c r="P19" s="186"/>
    </row>
    <row r="20" spans="1:16" s="48" customFormat="1" ht="15" x14ac:dyDescent="0.25">
      <c r="A20" s="121" t="s">
        <v>228</v>
      </c>
      <c r="B20" s="120" t="s">
        <v>76</v>
      </c>
      <c r="C20" s="193">
        <v>438.24</v>
      </c>
      <c r="D20" s="193">
        <v>73.040000000000006</v>
      </c>
      <c r="E20" s="43">
        <f t="shared" si="0"/>
        <v>511.28000000000003</v>
      </c>
      <c r="F20" s="177">
        <v>-66.069999999999993</v>
      </c>
      <c r="G20" s="126">
        <v>0</v>
      </c>
      <c r="H20" s="177">
        <v>-0.05</v>
      </c>
      <c r="I20" s="43">
        <f t="shared" si="1"/>
        <v>-66.11999999999999</v>
      </c>
      <c r="J20" s="43">
        <f t="shared" si="2"/>
        <v>577.4</v>
      </c>
      <c r="L20" s="246" t="s">
        <v>38</v>
      </c>
      <c r="M20" s="247" t="s">
        <v>180</v>
      </c>
      <c r="N20" s="188"/>
      <c r="P20" s="186"/>
    </row>
    <row r="21" spans="1:16" s="48" customFormat="1" ht="15.75" x14ac:dyDescent="0.25">
      <c r="A21" s="121" t="s">
        <v>228</v>
      </c>
      <c r="B21" s="120" t="s">
        <v>217</v>
      </c>
      <c r="C21" s="193">
        <v>438.24</v>
      </c>
      <c r="D21" s="193">
        <v>73.040000000000006</v>
      </c>
      <c r="E21" s="43">
        <f t="shared" si="0"/>
        <v>511.28000000000003</v>
      </c>
      <c r="F21" s="177">
        <v>-66.069999999999993</v>
      </c>
      <c r="G21" s="126">
        <v>0</v>
      </c>
      <c r="H21" s="176">
        <v>0.15</v>
      </c>
      <c r="I21" s="43">
        <f t="shared" si="1"/>
        <v>-65.919999999999987</v>
      </c>
      <c r="J21" s="43">
        <f t="shared" si="2"/>
        <v>577.20000000000005</v>
      </c>
      <c r="L21" s="262" t="s">
        <v>228</v>
      </c>
      <c r="M21" s="263" t="s">
        <v>203</v>
      </c>
      <c r="N21" s="188"/>
      <c r="P21" s="186"/>
    </row>
    <row r="22" spans="1:16" s="48" customFormat="1" ht="15.75" x14ac:dyDescent="0.25">
      <c r="A22" s="174" t="s">
        <v>291</v>
      </c>
      <c r="B22" s="173" t="s">
        <v>293</v>
      </c>
      <c r="C22" s="193">
        <v>438.24</v>
      </c>
      <c r="D22" s="193">
        <v>73.040000000000006</v>
      </c>
      <c r="E22" s="43">
        <f t="shared" si="0"/>
        <v>511.28000000000003</v>
      </c>
      <c r="F22" s="177">
        <v>-66.069999999999993</v>
      </c>
      <c r="G22" s="126">
        <v>0</v>
      </c>
      <c r="H22" s="177">
        <v>-0.05</v>
      </c>
      <c r="I22" s="43">
        <f t="shared" si="1"/>
        <v>-66.11999999999999</v>
      </c>
      <c r="J22" s="43">
        <f t="shared" si="2"/>
        <v>577.4</v>
      </c>
      <c r="L22" s="262" t="s">
        <v>291</v>
      </c>
      <c r="M22" s="263" t="s">
        <v>275</v>
      </c>
      <c r="N22" s="188"/>
      <c r="P22" s="186"/>
    </row>
    <row r="23" spans="1:16" s="48" customFormat="1" ht="15" x14ac:dyDescent="0.25">
      <c r="A23" s="121" t="s">
        <v>229</v>
      </c>
      <c r="B23" s="120" t="s">
        <v>78</v>
      </c>
      <c r="C23" s="193">
        <v>438.24</v>
      </c>
      <c r="D23" s="193">
        <v>73.040000000000006</v>
      </c>
      <c r="E23" s="43">
        <f t="shared" si="0"/>
        <v>511.28000000000003</v>
      </c>
      <c r="F23" s="177">
        <v>-66.069999999999993</v>
      </c>
      <c r="G23" s="126">
        <v>0</v>
      </c>
      <c r="H23" s="177">
        <v>-0.05</v>
      </c>
      <c r="I23" s="43">
        <f t="shared" si="1"/>
        <v>-66.11999999999999</v>
      </c>
      <c r="J23" s="43">
        <f t="shared" si="2"/>
        <v>577.4</v>
      </c>
      <c r="L23" s="246" t="s">
        <v>77</v>
      </c>
      <c r="M23" s="247" t="s">
        <v>99</v>
      </c>
      <c r="N23" s="188"/>
      <c r="P23" s="186"/>
    </row>
    <row r="24" spans="1:16" s="48" customFormat="1" ht="15" x14ac:dyDescent="0.25">
      <c r="A24" s="121" t="s">
        <v>230</v>
      </c>
      <c r="B24" s="120" t="s">
        <v>79</v>
      </c>
      <c r="C24" s="193">
        <v>401.72</v>
      </c>
      <c r="D24" s="193">
        <v>66.95</v>
      </c>
      <c r="E24" s="43">
        <f t="shared" ref="E24:E25" si="3">SUM(C24:D24)</f>
        <v>468.67</v>
      </c>
      <c r="F24" s="177">
        <v>-63.01</v>
      </c>
      <c r="G24" s="126">
        <v>0</v>
      </c>
      <c r="H24" s="193">
        <v>0.08</v>
      </c>
      <c r="I24" s="43">
        <f t="shared" si="1"/>
        <v>-62.93</v>
      </c>
      <c r="J24" s="43">
        <f t="shared" si="2"/>
        <v>531.6</v>
      </c>
      <c r="L24" s="246" t="s">
        <v>55</v>
      </c>
      <c r="M24" s="259" t="s">
        <v>112</v>
      </c>
      <c r="N24" s="188"/>
      <c r="P24" s="186"/>
    </row>
    <row r="25" spans="1:16" s="48" customFormat="1" ht="15" x14ac:dyDescent="0.25">
      <c r="A25" s="121" t="s">
        <v>231</v>
      </c>
      <c r="B25" s="120" t="s">
        <v>80</v>
      </c>
      <c r="C25" s="193">
        <v>401.72</v>
      </c>
      <c r="D25" s="193">
        <v>66.95</v>
      </c>
      <c r="E25" s="43">
        <f t="shared" si="3"/>
        <v>468.67</v>
      </c>
      <c r="F25" s="177">
        <v>-63.01</v>
      </c>
      <c r="G25" s="126">
        <v>0</v>
      </c>
      <c r="H25" s="193">
        <v>0.08</v>
      </c>
      <c r="I25" s="43">
        <f t="shared" si="1"/>
        <v>-62.93</v>
      </c>
      <c r="J25" s="43">
        <f t="shared" si="2"/>
        <v>531.6</v>
      </c>
      <c r="L25" s="246" t="s">
        <v>53</v>
      </c>
      <c r="M25" s="259" t="s">
        <v>100</v>
      </c>
      <c r="N25" s="188"/>
      <c r="P25" s="186"/>
    </row>
    <row r="26" spans="1:16" s="48" customFormat="1" ht="15" x14ac:dyDescent="0.25">
      <c r="A26" s="121" t="s">
        <v>232</v>
      </c>
      <c r="B26" s="120" t="s">
        <v>81</v>
      </c>
      <c r="C26" s="193">
        <v>438.24</v>
      </c>
      <c r="D26" s="193">
        <v>73.040000000000006</v>
      </c>
      <c r="E26" s="43">
        <f t="shared" si="0"/>
        <v>511.28000000000003</v>
      </c>
      <c r="F26" s="177">
        <v>-66.069999999999993</v>
      </c>
      <c r="G26" s="126">
        <v>0</v>
      </c>
      <c r="H26" s="177">
        <v>-0.05</v>
      </c>
      <c r="I26" s="43">
        <f t="shared" si="1"/>
        <v>-66.11999999999999</v>
      </c>
      <c r="J26" s="43">
        <f t="shared" si="2"/>
        <v>577.4</v>
      </c>
      <c r="L26" s="246" t="s">
        <v>54</v>
      </c>
      <c r="M26" s="259" t="s">
        <v>107</v>
      </c>
      <c r="N26" s="188"/>
      <c r="P26" s="186"/>
    </row>
    <row r="27" spans="1:16" s="48" customFormat="1" ht="15" x14ac:dyDescent="0.25">
      <c r="A27" s="121" t="s">
        <v>234</v>
      </c>
      <c r="B27" s="120" t="s">
        <v>84</v>
      </c>
      <c r="C27" s="193">
        <v>438.24</v>
      </c>
      <c r="D27" s="193">
        <v>73.040000000000006</v>
      </c>
      <c r="E27" s="43">
        <f t="shared" si="0"/>
        <v>511.28000000000003</v>
      </c>
      <c r="F27" s="177">
        <v>-66.069999999999993</v>
      </c>
      <c r="G27" s="126">
        <v>0</v>
      </c>
      <c r="H27" s="177">
        <v>-0.05</v>
      </c>
      <c r="I27" s="43">
        <f t="shared" si="1"/>
        <v>-66.11999999999999</v>
      </c>
      <c r="J27" s="43">
        <f t="shared" si="2"/>
        <v>577.4</v>
      </c>
      <c r="L27" s="246" t="s">
        <v>83</v>
      </c>
      <c r="M27" s="268" t="s">
        <v>37</v>
      </c>
      <c r="N27" s="188"/>
      <c r="P27" s="186"/>
    </row>
    <row r="28" spans="1:16" s="48" customFormat="1" ht="15" x14ac:dyDescent="0.25">
      <c r="A28" s="121" t="s">
        <v>235</v>
      </c>
      <c r="B28" s="120" t="s">
        <v>86</v>
      </c>
      <c r="C28" s="193">
        <v>438.24</v>
      </c>
      <c r="D28" s="193">
        <v>73.040000000000006</v>
      </c>
      <c r="E28" s="43">
        <f t="shared" si="0"/>
        <v>511.28000000000003</v>
      </c>
      <c r="F28" s="177">
        <v>-66.069999999999993</v>
      </c>
      <c r="G28" s="126">
        <v>0</v>
      </c>
      <c r="H28" s="177">
        <v>-0.05</v>
      </c>
      <c r="I28" s="43">
        <f t="shared" si="1"/>
        <v>-66.11999999999999</v>
      </c>
      <c r="J28" s="43">
        <f t="shared" si="2"/>
        <v>577.4</v>
      </c>
      <c r="L28" s="246" t="s">
        <v>85</v>
      </c>
      <c r="M28" s="247" t="s">
        <v>58</v>
      </c>
      <c r="N28" s="188"/>
      <c r="P28" s="186"/>
    </row>
    <row r="29" spans="1:16" s="48" customFormat="1" ht="15" x14ac:dyDescent="0.25">
      <c r="A29" s="121" t="s">
        <v>236</v>
      </c>
      <c r="B29" s="120" t="s">
        <v>87</v>
      </c>
      <c r="C29" s="193">
        <v>401.72</v>
      </c>
      <c r="D29" s="193">
        <v>66.95</v>
      </c>
      <c r="E29" s="43">
        <f t="shared" ref="E29" si="4">SUM(C29:D29)</f>
        <v>468.67</v>
      </c>
      <c r="F29" s="177">
        <v>-63.01</v>
      </c>
      <c r="G29" s="126">
        <v>0</v>
      </c>
      <c r="H29" s="193">
        <v>0.08</v>
      </c>
      <c r="I29" s="43">
        <f t="shared" si="1"/>
        <v>-62.93</v>
      </c>
      <c r="J29" s="43">
        <f t="shared" si="2"/>
        <v>531.6</v>
      </c>
      <c r="L29" s="246" t="s">
        <v>56</v>
      </c>
      <c r="M29" s="259" t="s">
        <v>106</v>
      </c>
      <c r="N29" s="188"/>
      <c r="P29" s="186"/>
    </row>
    <row r="30" spans="1:16" s="48" customFormat="1" ht="15" x14ac:dyDescent="0.25">
      <c r="A30" s="121" t="s">
        <v>237</v>
      </c>
      <c r="B30" s="120" t="s">
        <v>89</v>
      </c>
      <c r="C30" s="193">
        <v>438.24</v>
      </c>
      <c r="D30" s="193">
        <v>73.040000000000006</v>
      </c>
      <c r="E30" s="43">
        <f t="shared" si="0"/>
        <v>511.28000000000003</v>
      </c>
      <c r="F30" s="177">
        <v>-66.069999999999993</v>
      </c>
      <c r="G30" s="126">
        <v>0</v>
      </c>
      <c r="H30" s="177">
        <v>-0.05</v>
      </c>
      <c r="I30" s="43">
        <f t="shared" si="1"/>
        <v>-66.11999999999999</v>
      </c>
      <c r="J30" s="43">
        <f t="shared" si="2"/>
        <v>577.4</v>
      </c>
      <c r="L30" s="246" t="s">
        <v>88</v>
      </c>
      <c r="M30" s="247" t="s">
        <v>113</v>
      </c>
      <c r="N30" s="188"/>
      <c r="P30" s="186"/>
    </row>
    <row r="31" spans="1:16" s="48" customFormat="1" ht="15" x14ac:dyDescent="0.25">
      <c r="A31" s="121" t="s">
        <v>238</v>
      </c>
      <c r="B31" s="120" t="s">
        <v>90</v>
      </c>
      <c r="C31" s="193">
        <v>438.24</v>
      </c>
      <c r="D31" s="193">
        <v>73.040000000000006</v>
      </c>
      <c r="E31" s="43">
        <f t="shared" si="0"/>
        <v>511.28000000000003</v>
      </c>
      <c r="F31" s="177">
        <v>-66.069999999999993</v>
      </c>
      <c r="G31" s="126">
        <v>0</v>
      </c>
      <c r="H31" s="177">
        <v>-0.05</v>
      </c>
      <c r="I31" s="43">
        <f t="shared" si="1"/>
        <v>-66.11999999999999</v>
      </c>
      <c r="J31" s="43">
        <f t="shared" si="2"/>
        <v>577.4</v>
      </c>
      <c r="L31" s="246" t="s">
        <v>59</v>
      </c>
      <c r="M31" s="259" t="s">
        <v>33</v>
      </c>
      <c r="N31" s="188"/>
      <c r="P31" s="186"/>
    </row>
    <row r="32" spans="1:16" s="48" customFormat="1" ht="15" x14ac:dyDescent="0.25">
      <c r="A32" s="174" t="s">
        <v>294</v>
      </c>
      <c r="B32" s="173" t="s">
        <v>295</v>
      </c>
      <c r="C32" s="193">
        <v>438.24</v>
      </c>
      <c r="D32" s="193">
        <v>73.040000000000006</v>
      </c>
      <c r="E32" s="43">
        <f t="shared" si="0"/>
        <v>511.28000000000003</v>
      </c>
      <c r="F32" s="177">
        <v>-66.069999999999993</v>
      </c>
      <c r="G32" s="126">
        <v>0</v>
      </c>
      <c r="H32" s="177">
        <v>-0.05</v>
      </c>
      <c r="I32" s="43">
        <f t="shared" si="1"/>
        <v>-66.11999999999999</v>
      </c>
      <c r="J32" s="43">
        <f t="shared" si="2"/>
        <v>577.4</v>
      </c>
      <c r="L32" s="246" t="s">
        <v>294</v>
      </c>
      <c r="M32" s="259" t="s">
        <v>295</v>
      </c>
      <c r="N32" s="188"/>
      <c r="P32" s="186"/>
    </row>
    <row r="33" spans="1:16" s="48" customFormat="1" ht="15" x14ac:dyDescent="0.25">
      <c r="A33" s="121" t="s">
        <v>239</v>
      </c>
      <c r="B33" s="120" t="s">
        <v>91</v>
      </c>
      <c r="C33" s="193">
        <v>438.24</v>
      </c>
      <c r="D33" s="193">
        <v>73.040000000000006</v>
      </c>
      <c r="E33" s="43">
        <f t="shared" si="0"/>
        <v>511.28000000000003</v>
      </c>
      <c r="F33" s="177">
        <v>-66.069999999999993</v>
      </c>
      <c r="G33" s="126">
        <v>0</v>
      </c>
      <c r="H33" s="177">
        <v>-0.05</v>
      </c>
      <c r="I33" s="43">
        <f t="shared" si="1"/>
        <v>-66.11999999999999</v>
      </c>
      <c r="J33" s="43">
        <f t="shared" si="2"/>
        <v>577.4</v>
      </c>
      <c r="L33" s="246" t="s">
        <v>60</v>
      </c>
      <c r="M33" s="259" t="s">
        <v>34</v>
      </c>
      <c r="N33" s="188"/>
      <c r="P33" s="186"/>
    </row>
    <row r="34" spans="1:16" s="48" customFormat="1" ht="15" x14ac:dyDescent="0.25">
      <c r="A34" s="121" t="s">
        <v>240</v>
      </c>
      <c r="B34" s="120" t="s">
        <v>92</v>
      </c>
      <c r="C34" s="193">
        <v>438.24</v>
      </c>
      <c r="D34" s="193">
        <v>73.040000000000006</v>
      </c>
      <c r="E34" s="43">
        <f t="shared" si="0"/>
        <v>511.28000000000003</v>
      </c>
      <c r="F34" s="177">
        <v>-66.069999999999993</v>
      </c>
      <c r="G34" s="126">
        <v>0</v>
      </c>
      <c r="H34" s="177">
        <v>-0.05</v>
      </c>
      <c r="I34" s="43">
        <f t="shared" si="1"/>
        <v>-66.11999999999999</v>
      </c>
      <c r="J34" s="43">
        <f t="shared" si="2"/>
        <v>577.4</v>
      </c>
      <c r="L34" s="246" t="s">
        <v>61</v>
      </c>
      <c r="M34" s="247" t="s">
        <v>62</v>
      </c>
      <c r="N34" s="188"/>
      <c r="P34" s="186"/>
    </row>
    <row r="35" spans="1:16" s="48" customFormat="1" ht="15" x14ac:dyDescent="0.25">
      <c r="A35" s="121" t="s">
        <v>241</v>
      </c>
      <c r="B35" s="120" t="s">
        <v>94</v>
      </c>
      <c r="C35" s="193">
        <v>438.24</v>
      </c>
      <c r="D35" s="193">
        <v>73.040000000000006</v>
      </c>
      <c r="E35" s="43">
        <f t="shared" si="0"/>
        <v>511.28000000000003</v>
      </c>
      <c r="F35" s="177">
        <v>-66.069999999999993</v>
      </c>
      <c r="G35" s="126">
        <v>0</v>
      </c>
      <c r="H35" s="177">
        <v>-0.05</v>
      </c>
      <c r="I35" s="43">
        <f t="shared" si="1"/>
        <v>-66.11999999999999</v>
      </c>
      <c r="J35" s="43">
        <f t="shared" si="2"/>
        <v>577.4</v>
      </c>
      <c r="L35" s="246" t="s">
        <v>93</v>
      </c>
      <c r="M35" s="259" t="s">
        <v>110</v>
      </c>
      <c r="N35" s="188"/>
      <c r="P35" s="186"/>
    </row>
    <row r="36" spans="1:16" s="48" customFormat="1" ht="15" x14ac:dyDescent="0.25">
      <c r="A36" s="121" t="s">
        <v>242</v>
      </c>
      <c r="B36" s="120" t="s">
        <v>96</v>
      </c>
      <c r="C36" s="193">
        <v>438.24</v>
      </c>
      <c r="D36" s="193">
        <v>73.040000000000006</v>
      </c>
      <c r="E36" s="43">
        <f t="shared" si="0"/>
        <v>511.28000000000003</v>
      </c>
      <c r="F36" s="177">
        <v>-66.069999999999993</v>
      </c>
      <c r="G36" s="126">
        <v>0</v>
      </c>
      <c r="H36" s="176">
        <v>0.15</v>
      </c>
      <c r="I36" s="43">
        <f t="shared" si="1"/>
        <v>-65.919999999999987</v>
      </c>
      <c r="J36" s="43">
        <f t="shared" si="2"/>
        <v>577.20000000000005</v>
      </c>
      <c r="L36" s="246" t="s">
        <v>40</v>
      </c>
      <c r="M36" s="259" t="s">
        <v>102</v>
      </c>
      <c r="N36" s="188"/>
      <c r="P36" s="186"/>
    </row>
    <row r="37" spans="1:16" s="48" customFormat="1" ht="15.75" x14ac:dyDescent="0.25">
      <c r="A37" s="121" t="s">
        <v>244</v>
      </c>
      <c r="B37" s="120" t="s">
        <v>218</v>
      </c>
      <c r="C37" s="193">
        <v>438.24</v>
      </c>
      <c r="D37" s="193">
        <v>73.040000000000006</v>
      </c>
      <c r="E37" s="43">
        <f t="shared" si="0"/>
        <v>511.28000000000003</v>
      </c>
      <c r="F37" s="177">
        <v>-66.069999999999993</v>
      </c>
      <c r="G37" s="126">
        <v>0</v>
      </c>
      <c r="H37" s="176">
        <v>0.15</v>
      </c>
      <c r="I37" s="43">
        <f t="shared" si="1"/>
        <v>-65.919999999999987</v>
      </c>
      <c r="J37" s="43">
        <f t="shared" si="2"/>
        <v>577.20000000000005</v>
      </c>
      <c r="K37" s="51"/>
      <c r="L37" s="262" t="s">
        <v>244</v>
      </c>
      <c r="M37" s="263" t="s">
        <v>215</v>
      </c>
      <c r="N37" s="188"/>
      <c r="P37" s="186"/>
    </row>
    <row r="38" spans="1:16" s="48" customFormat="1" ht="15" x14ac:dyDescent="0.25">
      <c r="A38" s="121" t="s">
        <v>245</v>
      </c>
      <c r="B38" s="120" t="s">
        <v>98</v>
      </c>
      <c r="C38" s="193">
        <v>438.24</v>
      </c>
      <c r="D38" s="193">
        <v>73.040000000000006</v>
      </c>
      <c r="E38" s="43">
        <f t="shared" si="0"/>
        <v>511.28000000000003</v>
      </c>
      <c r="F38" s="177">
        <v>-66.069999999999993</v>
      </c>
      <c r="G38" s="126">
        <v>0</v>
      </c>
      <c r="H38" s="177">
        <v>-0.05</v>
      </c>
      <c r="I38" s="43">
        <f t="shared" si="1"/>
        <v>-66.11999999999999</v>
      </c>
      <c r="J38" s="43">
        <f t="shared" si="2"/>
        <v>577.4</v>
      </c>
      <c r="K38" s="1"/>
      <c r="L38" s="246" t="s">
        <v>65</v>
      </c>
      <c r="M38" s="259" t="s">
        <v>111</v>
      </c>
      <c r="N38" s="188"/>
      <c r="P38" s="186"/>
    </row>
    <row r="39" spans="1:16" s="51" customFormat="1" x14ac:dyDescent="0.2">
      <c r="A39" s="47"/>
      <c r="B39" s="48"/>
      <c r="C39" s="123" t="s">
        <v>15</v>
      </c>
      <c r="D39" s="123" t="s">
        <v>15</v>
      </c>
      <c r="E39" s="123" t="s">
        <v>15</v>
      </c>
      <c r="F39" s="123" t="s">
        <v>15</v>
      </c>
      <c r="G39" s="123" t="s">
        <v>15</v>
      </c>
      <c r="H39" s="123" t="s">
        <v>15</v>
      </c>
      <c r="I39" s="123" t="s">
        <v>15</v>
      </c>
      <c r="J39" s="123" t="s">
        <v>15</v>
      </c>
      <c r="K39" s="2"/>
      <c r="L39" s="187"/>
      <c r="M39" s="187"/>
      <c r="N39" s="188"/>
      <c r="O39" s="48"/>
      <c r="P39" s="186"/>
    </row>
    <row r="40" spans="1:16" s="1" customFormat="1" ht="14.25" x14ac:dyDescent="0.2">
      <c r="A40" s="47"/>
      <c r="B40" s="48"/>
      <c r="C40" s="125">
        <f t="shared" ref="C40:J40" si="5">SUM(C10:C39)</f>
        <v>12562.879999999996</v>
      </c>
      <c r="D40" s="125">
        <f t="shared" si="5"/>
        <v>2093.7999999999997</v>
      </c>
      <c r="E40" s="125">
        <f t="shared" si="5"/>
        <v>14656.680000000008</v>
      </c>
      <c r="F40" s="125">
        <f t="shared" si="5"/>
        <v>-1903.7899999999988</v>
      </c>
      <c r="G40" s="125">
        <f t="shared" si="5"/>
        <v>0</v>
      </c>
      <c r="H40" s="125">
        <f t="shared" si="5"/>
        <v>0.29000000000000009</v>
      </c>
      <c r="I40" s="125">
        <f t="shared" si="5"/>
        <v>-1903.4999999999991</v>
      </c>
      <c r="J40" s="125">
        <f t="shared" si="5"/>
        <v>16560.179999999997</v>
      </c>
      <c r="K40" s="2"/>
      <c r="L40" s="189"/>
      <c r="M40" s="189"/>
      <c r="N40" s="190"/>
      <c r="O40" s="48"/>
      <c r="P40" s="186"/>
    </row>
    <row r="41" spans="1:16" x14ac:dyDescent="0.2">
      <c r="A41" s="3" t="s">
        <v>17</v>
      </c>
      <c r="B41" s="2" t="s">
        <v>17</v>
      </c>
      <c r="C41" s="9"/>
      <c r="D41" s="37"/>
      <c r="E41" s="9"/>
      <c r="F41" s="9"/>
      <c r="G41" s="124"/>
      <c r="H41" s="9"/>
      <c r="I41" s="9"/>
      <c r="J41" s="178"/>
      <c r="L41" s="175"/>
      <c r="M41" s="175"/>
      <c r="N41" s="175"/>
    </row>
    <row r="42" spans="1:16" x14ac:dyDescent="0.2">
      <c r="J42" s="176"/>
    </row>
  </sheetData>
  <mergeCells count="2">
    <mergeCell ref="B1:C1"/>
    <mergeCell ref="B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45"/>
  <sheetViews>
    <sheetView workbookViewId="0">
      <pane xSplit="2" ySplit="9" topLeftCell="C37" activePane="bottomRight" state="frozen"/>
      <selection activeCell="B4" sqref="B4"/>
      <selection pane="topRight" activeCell="B4" sqref="B4"/>
      <selection pane="bottomLeft" activeCell="B4" sqref="B4"/>
      <selection pane="bottomRight" activeCell="H10" sqref="H10:H38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8" width="10.7109375" style="2" customWidth="1"/>
    <col min="9" max="9" width="13.140625" style="2" bestFit="1" customWidth="1"/>
    <col min="10" max="10" width="8" style="32" customWidth="1"/>
    <col min="11" max="11" width="13.140625" style="2" bestFit="1" customWidth="1"/>
    <col min="12" max="12" width="12.7109375" style="2" customWidth="1"/>
    <col min="13" max="13" width="11.42578125" style="2"/>
    <col min="14" max="14" width="39" style="2" bestFit="1" customWidth="1"/>
    <col min="15" max="15" width="15.85546875" style="2" bestFit="1" customWidth="1"/>
    <col min="16" max="16384" width="11.42578125" style="2"/>
  </cols>
  <sheetData>
    <row r="1" spans="1:17" ht="18" customHeight="1" x14ac:dyDescent="0.25">
      <c r="A1" s="4" t="s">
        <v>0</v>
      </c>
      <c r="B1" s="305" t="s">
        <v>17</v>
      </c>
      <c r="C1" s="306"/>
      <c r="I1" s="42"/>
      <c r="J1" s="42"/>
    </row>
    <row r="2" spans="1:17" ht="24.95" customHeight="1" x14ac:dyDescent="0.2">
      <c r="A2" s="5" t="s">
        <v>1</v>
      </c>
      <c r="B2" s="67" t="s">
        <v>2</v>
      </c>
      <c r="C2" s="11"/>
      <c r="D2" s="30"/>
      <c r="I2" s="42"/>
      <c r="J2" s="42"/>
    </row>
    <row r="3" spans="1:17" ht="15.75" x14ac:dyDescent="0.25">
      <c r="B3" s="66" t="s">
        <v>3</v>
      </c>
      <c r="C3" s="46"/>
      <c r="D3" s="30"/>
    </row>
    <row r="4" spans="1:17" ht="15" x14ac:dyDescent="0.25">
      <c r="B4" s="144" t="str">
        <f>+FACTURACIÓN!B4</f>
        <v>Periodo 9 al 9 Semanal del 24/02/2016 al 01/03/2016</v>
      </c>
      <c r="C4" s="46"/>
      <c r="D4" s="30"/>
    </row>
    <row r="5" spans="1:17" x14ac:dyDescent="0.2">
      <c r="B5" s="175" t="s">
        <v>296</v>
      </c>
      <c r="C5" s="45"/>
      <c r="D5" s="45"/>
    </row>
    <row r="6" spans="1:17" ht="23.25" thickBot="1" x14ac:dyDescent="0.25">
      <c r="B6" s="65" t="s">
        <v>5</v>
      </c>
      <c r="C6" s="45"/>
      <c r="D6" s="45"/>
      <c r="F6" s="19" t="s">
        <v>32</v>
      </c>
      <c r="G6" s="19" t="s">
        <v>165</v>
      </c>
      <c r="H6" s="19" t="s">
        <v>21</v>
      </c>
      <c r="I6" s="19" t="s">
        <v>289</v>
      </c>
    </row>
    <row r="7" spans="1:17" ht="12" thickTop="1" x14ac:dyDescent="0.2"/>
    <row r="8" spans="1:17" s="6" customFormat="1" ht="34.5" thickBot="1" x14ac:dyDescent="0.25">
      <c r="A8" s="7" t="s">
        <v>6</v>
      </c>
      <c r="B8" s="8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165</v>
      </c>
      <c r="H8" s="13" t="s">
        <v>21</v>
      </c>
      <c r="I8" s="13" t="s">
        <v>289</v>
      </c>
      <c r="J8" s="13" t="s">
        <v>11</v>
      </c>
      <c r="K8" s="12" t="s">
        <v>12</v>
      </c>
      <c r="L8" s="28" t="s">
        <v>13</v>
      </c>
    </row>
    <row r="9" spans="1:17" s="48" customFormat="1" ht="12" thickTop="1" x14ac:dyDescent="0.2">
      <c r="A9" s="56" t="s">
        <v>14</v>
      </c>
    </row>
    <row r="10" spans="1:17" s="48" customFormat="1" ht="15.75" x14ac:dyDescent="0.25">
      <c r="A10" s="121" t="s">
        <v>219</v>
      </c>
      <c r="B10" s="120" t="s">
        <v>67</v>
      </c>
      <c r="C10" s="49">
        <f>+FACTURACIÓN!F10-'C&amp;A'!J10-'C&amp;A'!G10</f>
        <v>8616.1</v>
      </c>
      <c r="D10" s="49">
        <v>0</v>
      </c>
      <c r="E10" s="43">
        <f>SUM(C10:D10)</f>
        <v>8616.1</v>
      </c>
      <c r="F10" s="49">
        <f>+FACTURACIÓN!G10</f>
        <v>45.15</v>
      </c>
      <c r="G10" s="49">
        <f>+FACTURACIÓN!H10</f>
        <v>0</v>
      </c>
      <c r="H10" s="49">
        <f>+FACTURACIÓN!I10</f>
        <v>0</v>
      </c>
      <c r="I10" s="49">
        <f>+FACTURACIÓN!J10</f>
        <v>914.83500000000004</v>
      </c>
      <c r="J10" s="49">
        <v>0</v>
      </c>
      <c r="K10" s="49">
        <f>SUM(F10:J10)</f>
        <v>959.98500000000001</v>
      </c>
      <c r="L10" s="57">
        <f>+E10-K10</f>
        <v>7656.1150000000007</v>
      </c>
      <c r="N10" s="83" t="s">
        <v>191</v>
      </c>
      <c r="O10" s="96" t="s">
        <v>254</v>
      </c>
      <c r="P10" s="192" t="s">
        <v>219</v>
      </c>
      <c r="Q10" s="191" t="s">
        <v>67</v>
      </c>
    </row>
    <row r="11" spans="1:17" s="48" customFormat="1" ht="15.75" x14ac:dyDescent="0.25">
      <c r="A11" s="121" t="s">
        <v>220</v>
      </c>
      <c r="B11" s="120" t="s">
        <v>68</v>
      </c>
      <c r="C11" s="49">
        <f>+FACTURACIÓN!F11-'C&amp;A'!J11-'C&amp;A'!G11</f>
        <v>8817.07</v>
      </c>
      <c r="D11" s="49">
        <v>0</v>
      </c>
      <c r="E11" s="43">
        <f t="shared" ref="E11:E38" si="0">SUM(C11:D11)</f>
        <v>8817.07</v>
      </c>
      <c r="F11" s="49">
        <f>+FACTURACIÓN!G11</f>
        <v>45.15</v>
      </c>
      <c r="G11" s="49">
        <f>+FACTURACIÓN!H11</f>
        <v>0</v>
      </c>
      <c r="H11" s="49">
        <f>+FACTURACIÓN!I11</f>
        <v>0</v>
      </c>
      <c r="I11" s="49">
        <f>+FACTURACIÓN!J11</f>
        <v>934.91200000000015</v>
      </c>
      <c r="J11" s="49">
        <v>0</v>
      </c>
      <c r="K11" s="49">
        <f t="shared" ref="K11:K38" si="1">SUM(F11:J11)</f>
        <v>980.06200000000013</v>
      </c>
      <c r="L11" s="57">
        <f t="shared" ref="L11:L38" si="2">+E11-K11</f>
        <v>7837.0079999999998</v>
      </c>
      <c r="N11" s="83" t="s">
        <v>192</v>
      </c>
      <c r="O11" s="96" t="s">
        <v>255</v>
      </c>
      <c r="P11" s="192" t="s">
        <v>220</v>
      </c>
      <c r="Q11" s="191" t="s">
        <v>68</v>
      </c>
    </row>
    <row r="12" spans="1:17" s="48" customFormat="1" ht="15.75" x14ac:dyDescent="0.25">
      <c r="A12" s="121" t="s">
        <v>221</v>
      </c>
      <c r="B12" s="120" t="s">
        <v>69</v>
      </c>
      <c r="C12" s="49">
        <f>+FACTURACIÓN!F12-'C&amp;A'!J12-'C&amp;A'!G12</f>
        <v>45.749999999999886</v>
      </c>
      <c r="D12" s="49">
        <v>0</v>
      </c>
      <c r="E12" s="43">
        <f t="shared" si="0"/>
        <v>45.749999999999886</v>
      </c>
      <c r="F12" s="49">
        <f>+FACTURACIÓN!G12</f>
        <v>45.15</v>
      </c>
      <c r="G12" s="49">
        <f>+FACTURACIÓN!H12</f>
        <v>0</v>
      </c>
      <c r="H12" s="49">
        <f>+FACTURACIÓN!I12</f>
        <v>0</v>
      </c>
      <c r="I12" s="49">
        <f>+FACTURACIÓN!J12</f>
        <v>0</v>
      </c>
      <c r="J12" s="49">
        <v>0</v>
      </c>
      <c r="K12" s="49">
        <f t="shared" si="1"/>
        <v>45.15</v>
      </c>
      <c r="L12" s="57">
        <f t="shared" si="2"/>
        <v>0.59999999999988773</v>
      </c>
      <c r="N12" s="83" t="s">
        <v>190</v>
      </c>
      <c r="O12" s="96" t="s">
        <v>256</v>
      </c>
      <c r="P12" s="192" t="s">
        <v>221</v>
      </c>
      <c r="Q12" s="191" t="s">
        <v>69</v>
      </c>
    </row>
    <row r="13" spans="1:17" s="48" customFormat="1" ht="15.75" x14ac:dyDescent="0.25">
      <c r="A13" s="121" t="s">
        <v>222</v>
      </c>
      <c r="B13" s="120" t="s">
        <v>216</v>
      </c>
      <c r="C13" s="49">
        <f>+FACTURACIÓN!F13-'C&amp;A'!J13-'C&amp;A'!G13</f>
        <v>2122.8000000000002</v>
      </c>
      <c r="D13" s="49">
        <v>0</v>
      </c>
      <c r="E13" s="43">
        <f t="shared" si="0"/>
        <v>2122.8000000000002</v>
      </c>
      <c r="F13" s="49">
        <f>+FACTURACIÓN!G13</f>
        <v>45.15</v>
      </c>
      <c r="G13" s="49">
        <f>+FACTURACIÓN!H13</f>
        <v>0</v>
      </c>
      <c r="H13" s="49">
        <f>+FACTURACIÓN!I13</f>
        <v>0</v>
      </c>
      <c r="I13" s="49">
        <f>+FACTURACIÓN!J13</f>
        <v>0</v>
      </c>
      <c r="J13" s="49">
        <v>0</v>
      </c>
      <c r="K13" s="49">
        <f t="shared" si="1"/>
        <v>45.15</v>
      </c>
      <c r="L13" s="57">
        <f t="shared" si="2"/>
        <v>2077.65</v>
      </c>
      <c r="N13" s="101" t="s">
        <v>214</v>
      </c>
      <c r="O13" s="152">
        <v>2858200513</v>
      </c>
      <c r="P13" s="192" t="s">
        <v>222</v>
      </c>
      <c r="Q13" s="191" t="s">
        <v>216</v>
      </c>
    </row>
    <row r="14" spans="1:17" s="48" customFormat="1" ht="15.75" x14ac:dyDescent="0.25">
      <c r="A14" s="121" t="s">
        <v>223</v>
      </c>
      <c r="B14" s="120" t="s">
        <v>70</v>
      </c>
      <c r="C14" s="49">
        <f>+FACTURACIÓN!F14-'C&amp;A'!J14-'C&amp;A'!G14</f>
        <v>1172.5999999999999</v>
      </c>
      <c r="D14" s="49">
        <v>0</v>
      </c>
      <c r="E14" s="43">
        <f t="shared" si="0"/>
        <v>1172.5999999999999</v>
      </c>
      <c r="F14" s="49">
        <f>+FACTURACIÓN!G14</f>
        <v>45.15</v>
      </c>
      <c r="G14" s="49">
        <f>+FACTURACIÓN!H14</f>
        <v>0</v>
      </c>
      <c r="H14" s="49">
        <f>+FACTURACIÓN!I14</f>
        <v>0</v>
      </c>
      <c r="I14" s="49">
        <f>+FACTURACIÓN!J14</f>
        <v>0</v>
      </c>
      <c r="J14" s="49">
        <v>0</v>
      </c>
      <c r="K14" s="49">
        <f t="shared" si="1"/>
        <v>45.15</v>
      </c>
      <c r="L14" s="57">
        <f t="shared" si="2"/>
        <v>1127.4499999999998</v>
      </c>
      <c r="N14" s="83" t="s">
        <v>35</v>
      </c>
      <c r="O14" s="96" t="s">
        <v>257</v>
      </c>
      <c r="P14" s="192" t="s">
        <v>223</v>
      </c>
      <c r="Q14" s="191" t="s">
        <v>70</v>
      </c>
    </row>
    <row r="15" spans="1:17" s="48" customFormat="1" ht="15.75" x14ac:dyDescent="0.25">
      <c r="A15" s="121" t="s">
        <v>224</v>
      </c>
      <c r="B15" s="120" t="s">
        <v>71</v>
      </c>
      <c r="C15" s="49">
        <f>+FACTURACIÓN!F15-'C&amp;A'!J15-'C&amp;A'!G15</f>
        <v>4718.3500000000004</v>
      </c>
      <c r="D15" s="49">
        <v>0</v>
      </c>
      <c r="E15" s="43">
        <f t="shared" si="0"/>
        <v>4718.3500000000004</v>
      </c>
      <c r="F15" s="49">
        <f>+FACTURACIÓN!G15</f>
        <v>45.15</v>
      </c>
      <c r="G15" s="49">
        <f>+FACTURACIÓN!H15</f>
        <v>0</v>
      </c>
      <c r="H15" s="49">
        <f>+FACTURACIÓN!I15</f>
        <v>1328.46</v>
      </c>
      <c r="I15" s="49">
        <f>+FACTURACIÓN!J15</f>
        <v>525.06000000000006</v>
      </c>
      <c r="J15" s="49">
        <v>0</v>
      </c>
      <c r="K15" s="49">
        <f t="shared" si="1"/>
        <v>1898.67</v>
      </c>
      <c r="L15" s="57">
        <f t="shared" si="2"/>
        <v>2819.6800000000003</v>
      </c>
      <c r="N15" s="83" t="s">
        <v>182</v>
      </c>
      <c r="O15" s="96" t="s">
        <v>259</v>
      </c>
      <c r="P15" s="192" t="s">
        <v>224</v>
      </c>
      <c r="Q15" s="191" t="s">
        <v>71</v>
      </c>
    </row>
    <row r="16" spans="1:17" s="48" customFormat="1" ht="15.75" x14ac:dyDescent="0.25">
      <c r="A16" s="121" t="s">
        <v>225</v>
      </c>
      <c r="B16" s="120" t="s">
        <v>72</v>
      </c>
      <c r="C16" s="49">
        <f>+FACTURACIÓN!F16-'C&amp;A'!J16-'C&amp;A'!G16</f>
        <v>122.60000000000002</v>
      </c>
      <c r="D16" s="49">
        <v>0</v>
      </c>
      <c r="E16" s="43">
        <f t="shared" si="0"/>
        <v>122.60000000000002</v>
      </c>
      <c r="F16" s="49">
        <f>+FACTURACIÓN!G16</f>
        <v>45.15</v>
      </c>
      <c r="G16" s="49">
        <f>+FACTURACIÓN!H16</f>
        <v>0</v>
      </c>
      <c r="H16" s="49">
        <f>+FACTURACIÓN!I16</f>
        <v>0</v>
      </c>
      <c r="I16" s="49">
        <f>+FACTURACIÓN!J16</f>
        <v>0</v>
      </c>
      <c r="J16" s="49">
        <v>0</v>
      </c>
      <c r="K16" s="49">
        <f t="shared" si="1"/>
        <v>45.15</v>
      </c>
      <c r="L16" s="57">
        <f t="shared" si="2"/>
        <v>77.450000000000017</v>
      </c>
      <c r="N16" s="83" t="s">
        <v>193</v>
      </c>
      <c r="O16" s="96" t="s">
        <v>260</v>
      </c>
      <c r="P16" s="192" t="s">
        <v>225</v>
      </c>
      <c r="Q16" s="191" t="s">
        <v>72</v>
      </c>
    </row>
    <row r="17" spans="1:17" s="48" customFormat="1" ht="15.75" x14ac:dyDescent="0.25">
      <c r="A17" s="174" t="s">
        <v>290</v>
      </c>
      <c r="B17" s="173" t="s">
        <v>292</v>
      </c>
      <c r="C17" s="49">
        <f>+FACTURACIÓN!F17-'C&amp;A'!J17-'C&amp;A'!G17</f>
        <v>11598.080000000002</v>
      </c>
      <c r="D17" s="49">
        <v>0</v>
      </c>
      <c r="E17" s="43">
        <f t="shared" si="0"/>
        <v>11598.080000000002</v>
      </c>
      <c r="F17" s="49">
        <f>+FACTURACIÓN!G17</f>
        <v>45.15</v>
      </c>
      <c r="G17" s="49">
        <f>+FACTURACIÓN!H17</f>
        <v>0</v>
      </c>
      <c r="H17" s="49">
        <f>+FACTURACIÓN!I17</f>
        <v>0</v>
      </c>
      <c r="I17" s="49">
        <f>+FACTURACIÓN!J17</f>
        <v>1213.0310000000002</v>
      </c>
      <c r="J17" s="49">
        <v>0</v>
      </c>
      <c r="K17" s="49">
        <f t="shared" si="1"/>
        <v>1258.1810000000003</v>
      </c>
      <c r="L17" s="57">
        <f t="shared" si="2"/>
        <v>10339.899000000001</v>
      </c>
      <c r="N17" s="23" t="s">
        <v>261</v>
      </c>
      <c r="O17" s="152">
        <v>1449517286</v>
      </c>
      <c r="P17" s="192" t="s">
        <v>290</v>
      </c>
      <c r="Q17" s="191" t="s">
        <v>292</v>
      </c>
    </row>
    <row r="18" spans="1:17" s="48" customFormat="1" ht="15.75" x14ac:dyDescent="0.25">
      <c r="A18" s="121" t="s">
        <v>226</v>
      </c>
      <c r="B18" s="120" t="s">
        <v>74</v>
      </c>
      <c r="C18" s="49">
        <f>+FACTURACIÓN!F18-'C&amp;A'!J18-'C&amp;A'!G18</f>
        <v>3363.1099999999997</v>
      </c>
      <c r="D18" s="49">
        <v>0</v>
      </c>
      <c r="E18" s="43">
        <f t="shared" si="0"/>
        <v>3363.1099999999997</v>
      </c>
      <c r="F18" s="49">
        <f>+FACTURACIÓN!G18</f>
        <v>45.15</v>
      </c>
      <c r="G18" s="49">
        <f>+FACTURACIÓN!H18</f>
        <v>0</v>
      </c>
      <c r="H18" s="49">
        <f>+FACTURACIÓN!I18</f>
        <v>0</v>
      </c>
      <c r="I18" s="49">
        <f>+FACTURACIÓN!J18</f>
        <v>389.51600000000002</v>
      </c>
      <c r="J18" s="49">
        <v>0</v>
      </c>
      <c r="K18" s="49">
        <f t="shared" si="1"/>
        <v>434.666</v>
      </c>
      <c r="L18" s="57">
        <f t="shared" si="2"/>
        <v>2928.4439999999995</v>
      </c>
      <c r="N18" s="101" t="s">
        <v>187</v>
      </c>
      <c r="O18" s="96" t="s">
        <v>262</v>
      </c>
      <c r="P18" s="192" t="s">
        <v>226</v>
      </c>
      <c r="Q18" s="191" t="s">
        <v>74</v>
      </c>
    </row>
    <row r="19" spans="1:17" s="48" customFormat="1" ht="15.75" x14ac:dyDescent="0.25">
      <c r="A19" s="47" t="s">
        <v>227</v>
      </c>
      <c r="B19" s="48" t="s">
        <v>75</v>
      </c>
      <c r="C19" s="49">
        <f>+FACTURACIÓN!F19-'C&amp;A'!J19-'C&amp;A'!G19</f>
        <v>10857.240000000002</v>
      </c>
      <c r="D19" s="49">
        <v>0</v>
      </c>
      <c r="E19" s="43">
        <f t="shared" si="0"/>
        <v>10857.240000000002</v>
      </c>
      <c r="F19" s="49">
        <f>+FACTURACIÓN!G19</f>
        <v>45.15</v>
      </c>
      <c r="G19" s="49">
        <f>+FACTURACIÓN!H19</f>
        <v>0</v>
      </c>
      <c r="H19" s="49">
        <f>+FACTURACIÓN!I19</f>
        <v>0</v>
      </c>
      <c r="I19" s="49">
        <f>+FACTURACIÓN!J19</f>
        <v>1138.9490000000003</v>
      </c>
      <c r="J19" s="49">
        <v>0</v>
      </c>
      <c r="K19" s="49">
        <f t="shared" si="1"/>
        <v>1184.0990000000004</v>
      </c>
      <c r="L19" s="57">
        <f t="shared" si="2"/>
        <v>9673.1410000000014</v>
      </c>
      <c r="N19" s="83" t="s">
        <v>194</v>
      </c>
      <c r="O19" s="96" t="s">
        <v>263</v>
      </c>
      <c r="P19" s="192" t="s">
        <v>227</v>
      </c>
      <c r="Q19" s="191" t="s">
        <v>75</v>
      </c>
    </row>
    <row r="20" spans="1:17" s="48" customFormat="1" ht="15.75" x14ac:dyDescent="0.25">
      <c r="A20" s="47" t="s">
        <v>247</v>
      </c>
      <c r="B20" s="48" t="s">
        <v>76</v>
      </c>
      <c r="C20" s="49">
        <f>+FACTURACIÓN!F20-'C&amp;A'!J20-'C&amp;A'!G20</f>
        <v>1890.17</v>
      </c>
      <c r="D20" s="49">
        <v>0</v>
      </c>
      <c r="E20" s="43">
        <f t="shared" si="0"/>
        <v>1890.17</v>
      </c>
      <c r="F20" s="49">
        <f>+FACTURACIÓN!G20</f>
        <v>45.15</v>
      </c>
      <c r="G20" s="49">
        <f>+FACTURACIÓN!H20</f>
        <v>0</v>
      </c>
      <c r="H20" s="49">
        <f>+FACTURACIÓN!I20</f>
        <v>498.65</v>
      </c>
      <c r="I20" s="49">
        <f>+FACTURACIÓN!J20</f>
        <v>0</v>
      </c>
      <c r="J20" s="49">
        <v>0</v>
      </c>
      <c r="K20" s="49">
        <f t="shared" si="1"/>
        <v>543.79999999999995</v>
      </c>
      <c r="L20" s="57">
        <f t="shared" si="2"/>
        <v>1346.3700000000001</v>
      </c>
      <c r="N20" s="83" t="s">
        <v>180</v>
      </c>
      <c r="O20" s="96" t="s">
        <v>264</v>
      </c>
      <c r="P20" s="192" t="s">
        <v>228</v>
      </c>
      <c r="Q20" s="191" t="s">
        <v>76</v>
      </c>
    </row>
    <row r="21" spans="1:17" s="48" customFormat="1" ht="15.75" x14ac:dyDescent="0.25">
      <c r="A21" s="47" t="s">
        <v>228</v>
      </c>
      <c r="B21" s="48" t="s">
        <v>217</v>
      </c>
      <c r="C21" s="49">
        <f>+FACTURACIÓN!F21-'C&amp;A'!J21-'C&amp;A'!G21</f>
        <v>122.79999999999995</v>
      </c>
      <c r="D21" s="49">
        <v>0</v>
      </c>
      <c r="E21" s="43">
        <f t="shared" si="0"/>
        <v>122.79999999999995</v>
      </c>
      <c r="F21" s="49">
        <f>+FACTURACIÓN!G21</f>
        <v>45.15</v>
      </c>
      <c r="G21" s="49">
        <f>+FACTURACIÓN!H21</f>
        <v>0</v>
      </c>
      <c r="H21" s="49">
        <f>+FACTURACIÓN!I21</f>
        <v>0</v>
      </c>
      <c r="I21" s="49">
        <f>+FACTURACIÓN!J21</f>
        <v>0</v>
      </c>
      <c r="J21" s="49">
        <v>0</v>
      </c>
      <c r="K21" s="49">
        <f t="shared" si="1"/>
        <v>45.15</v>
      </c>
      <c r="L21" s="57">
        <f t="shared" si="2"/>
        <v>77.649999999999949</v>
      </c>
      <c r="N21" s="101" t="s">
        <v>203</v>
      </c>
      <c r="O21" s="152">
        <v>2778164622</v>
      </c>
      <c r="P21" s="192" t="s">
        <v>228</v>
      </c>
      <c r="Q21" s="191" t="s">
        <v>217</v>
      </c>
    </row>
    <row r="22" spans="1:17" s="48" customFormat="1" ht="15.75" x14ac:dyDescent="0.25">
      <c r="A22" s="47" t="s">
        <v>291</v>
      </c>
      <c r="B22" s="48" t="s">
        <v>293</v>
      </c>
      <c r="C22" s="49">
        <f>+FACTURACIÓN!F22-'C&amp;A'!J22-'C&amp;A'!G22</f>
        <v>122.60000000000002</v>
      </c>
      <c r="D22" s="49">
        <v>0</v>
      </c>
      <c r="E22" s="43">
        <f t="shared" si="0"/>
        <v>122.60000000000002</v>
      </c>
      <c r="F22" s="49">
        <f>+FACTURACIÓN!G22</f>
        <v>45.15</v>
      </c>
      <c r="G22" s="49">
        <f>+FACTURACIÓN!H22</f>
        <v>0</v>
      </c>
      <c r="H22" s="49">
        <f>+FACTURACIÓN!I22</f>
        <v>0</v>
      </c>
      <c r="I22" s="49">
        <f>+FACTURACIÓN!J22</f>
        <v>0</v>
      </c>
      <c r="J22" s="49">
        <v>0</v>
      </c>
      <c r="K22" s="49">
        <f t="shared" si="1"/>
        <v>45.15</v>
      </c>
      <c r="L22" s="57">
        <f t="shared" si="2"/>
        <v>77.450000000000017</v>
      </c>
      <c r="N22" s="99" t="s">
        <v>275</v>
      </c>
      <c r="O22">
        <v>2721372165</v>
      </c>
      <c r="P22" s="192" t="s">
        <v>291</v>
      </c>
      <c r="Q22" s="191" t="s">
        <v>293</v>
      </c>
    </row>
    <row r="23" spans="1:17" s="48" customFormat="1" ht="15.75" x14ac:dyDescent="0.25">
      <c r="A23" s="47" t="s">
        <v>229</v>
      </c>
      <c r="B23" s="48" t="s">
        <v>78</v>
      </c>
      <c r="C23" s="49">
        <f>+FACTURACIÓN!F23-'C&amp;A'!J23-'C&amp;A'!G23</f>
        <v>8063.2800000000007</v>
      </c>
      <c r="D23" s="49">
        <v>0</v>
      </c>
      <c r="E23" s="43">
        <f t="shared" si="0"/>
        <v>8063.2800000000007</v>
      </c>
      <c r="F23" s="49">
        <f>+FACTURACIÓN!G23</f>
        <v>45.15</v>
      </c>
      <c r="G23" s="49">
        <f>+FACTURACIÓN!H23</f>
        <v>524.16999999999996</v>
      </c>
      <c r="H23" s="49">
        <f>+FACTURACIÓN!I23</f>
        <v>144.03</v>
      </c>
      <c r="I23" s="49">
        <f>+FACTURACIÓN!J23</f>
        <v>859.55300000000011</v>
      </c>
      <c r="J23" s="49">
        <v>0</v>
      </c>
      <c r="K23" s="49">
        <f t="shared" si="1"/>
        <v>1572.903</v>
      </c>
      <c r="L23" s="57">
        <f t="shared" si="2"/>
        <v>6490.3770000000004</v>
      </c>
      <c r="N23" s="83" t="s">
        <v>189</v>
      </c>
      <c r="O23" s="96" t="s">
        <v>266</v>
      </c>
      <c r="P23" s="192" t="s">
        <v>229</v>
      </c>
      <c r="Q23" s="191" t="s">
        <v>78</v>
      </c>
    </row>
    <row r="24" spans="1:17" s="48" customFormat="1" ht="15.75" x14ac:dyDescent="0.25">
      <c r="A24" s="47" t="s">
        <v>230</v>
      </c>
      <c r="B24" s="48" t="s">
        <v>79</v>
      </c>
      <c r="C24" s="271">
        <f>+FACTURACIÓN!F24-'C&amp;A'!J24-'C&amp;A'!G24</f>
        <v>45.75</v>
      </c>
      <c r="D24" s="49">
        <v>0</v>
      </c>
      <c r="E24" s="43">
        <f t="shared" si="0"/>
        <v>45.75</v>
      </c>
      <c r="F24" s="49">
        <f>+FACTURACIÓN!G24</f>
        <v>45.15</v>
      </c>
      <c r="G24" s="49">
        <f>+FACTURACIÓN!H24</f>
        <v>0</v>
      </c>
      <c r="H24" s="49">
        <f>+FACTURACIÓN!I24</f>
        <v>0</v>
      </c>
      <c r="I24" s="49">
        <f>+FACTURACIÓN!J24</f>
        <v>0</v>
      </c>
      <c r="J24" s="49">
        <v>0</v>
      </c>
      <c r="K24" s="49">
        <f t="shared" si="1"/>
        <v>45.15</v>
      </c>
      <c r="L24" s="57">
        <f t="shared" si="2"/>
        <v>0.60000000000000142</v>
      </c>
      <c r="N24" s="83" t="s">
        <v>196</v>
      </c>
      <c r="O24" s="96" t="s">
        <v>267</v>
      </c>
      <c r="P24" s="192" t="s">
        <v>230</v>
      </c>
      <c r="Q24" s="191" t="s">
        <v>79</v>
      </c>
    </row>
    <row r="25" spans="1:17" s="48" customFormat="1" ht="15.75" x14ac:dyDescent="0.25">
      <c r="A25" s="47" t="s">
        <v>231</v>
      </c>
      <c r="B25" s="48" t="s">
        <v>80</v>
      </c>
      <c r="C25" s="271">
        <f>+FACTURACIÓN!F25-'C&amp;A'!J25-'C&amp;A'!G25</f>
        <v>45.749999999999886</v>
      </c>
      <c r="D25" s="49">
        <v>0</v>
      </c>
      <c r="E25" s="43">
        <f t="shared" si="0"/>
        <v>45.749999999999886</v>
      </c>
      <c r="F25" s="49">
        <f>+FACTURACIÓN!G25</f>
        <v>45.15</v>
      </c>
      <c r="G25" s="49">
        <f>+FACTURACIÓN!H25</f>
        <v>0</v>
      </c>
      <c r="H25" s="49">
        <f>+FACTURACIÓN!I25</f>
        <v>0</v>
      </c>
      <c r="I25" s="49">
        <f>+FACTURACIÓN!J25</f>
        <v>0</v>
      </c>
      <c r="J25" s="49">
        <v>0</v>
      </c>
      <c r="K25" s="49">
        <f t="shared" si="1"/>
        <v>45.15</v>
      </c>
      <c r="L25" s="57">
        <f t="shared" si="2"/>
        <v>0.59999999999988773</v>
      </c>
      <c r="N25" s="83" t="s">
        <v>195</v>
      </c>
      <c r="O25" s="96" t="s">
        <v>268</v>
      </c>
      <c r="P25" s="192" t="s">
        <v>231</v>
      </c>
      <c r="Q25" s="191" t="s">
        <v>80</v>
      </c>
    </row>
    <row r="26" spans="1:17" s="48" customFormat="1" ht="15.75" x14ac:dyDescent="0.25">
      <c r="A26" s="47" t="s">
        <v>232</v>
      </c>
      <c r="B26" s="48" t="s">
        <v>81</v>
      </c>
      <c r="C26" s="49">
        <f>+FACTURACIÓN!F26-'C&amp;A'!J26-'C&amp;A'!G26</f>
        <v>4216.3900000000003</v>
      </c>
      <c r="D26" s="49">
        <v>0</v>
      </c>
      <c r="E26" s="43">
        <f t="shared" si="0"/>
        <v>4216.3900000000003</v>
      </c>
      <c r="F26" s="49">
        <f>+FACTURACIÓN!G26</f>
        <v>45.15</v>
      </c>
      <c r="G26" s="49">
        <f>+FACTURACIÓN!H26</f>
        <v>0</v>
      </c>
      <c r="H26" s="49">
        <f>+FACTURACIÓN!I26</f>
        <v>0</v>
      </c>
      <c r="I26" s="49">
        <f>+FACTURACIÓN!J26</f>
        <v>474.86400000000003</v>
      </c>
      <c r="J26" s="49">
        <v>0</v>
      </c>
      <c r="K26" s="49">
        <f t="shared" si="1"/>
        <v>520.01400000000001</v>
      </c>
      <c r="L26" s="57">
        <f t="shared" si="2"/>
        <v>3696.3760000000002</v>
      </c>
      <c r="N26" s="83" t="s">
        <v>269</v>
      </c>
      <c r="O26" s="96" t="s">
        <v>270</v>
      </c>
      <c r="P26" s="192" t="s">
        <v>232</v>
      </c>
      <c r="Q26" s="191" t="s">
        <v>81</v>
      </c>
    </row>
    <row r="27" spans="1:17" s="48" customFormat="1" ht="15.75" x14ac:dyDescent="0.25">
      <c r="A27" s="121" t="s">
        <v>234</v>
      </c>
      <c r="B27" s="120" t="s">
        <v>84</v>
      </c>
      <c r="C27" s="49">
        <f>+FACTURACIÓN!F27-'C&amp;A'!J27-'C&amp;A'!G27</f>
        <v>1762.4900000000002</v>
      </c>
      <c r="D27" s="49">
        <v>0</v>
      </c>
      <c r="E27" s="43">
        <f t="shared" si="0"/>
        <v>1762.4900000000002</v>
      </c>
      <c r="F27" s="49">
        <f>+FACTURACIÓN!G27</f>
        <v>45.15</v>
      </c>
      <c r="G27" s="49">
        <f>+FACTURACIÓN!H27</f>
        <v>0</v>
      </c>
      <c r="H27" s="49">
        <f>+FACTURACIÓN!I27</f>
        <v>89.36</v>
      </c>
      <c r="I27" s="49">
        <f>+FACTURACIÓN!J27</f>
        <v>0</v>
      </c>
      <c r="J27" s="49">
        <v>0</v>
      </c>
      <c r="K27" s="49">
        <f t="shared" si="1"/>
        <v>134.51</v>
      </c>
      <c r="L27" s="57">
        <f t="shared" si="2"/>
        <v>1627.9800000000002</v>
      </c>
      <c r="N27" s="83" t="s">
        <v>179</v>
      </c>
      <c r="O27" s="96" t="s">
        <v>272</v>
      </c>
      <c r="P27" s="192" t="s">
        <v>234</v>
      </c>
      <c r="Q27" s="191" t="s">
        <v>84</v>
      </c>
    </row>
    <row r="28" spans="1:17" s="48" customFormat="1" ht="15.75" x14ac:dyDescent="0.25">
      <c r="A28" s="121" t="s">
        <v>235</v>
      </c>
      <c r="B28" s="120" t="s">
        <v>86</v>
      </c>
      <c r="C28" s="49">
        <f>+FACTURACIÓN!F28-'C&amp;A'!J28-'C&amp;A'!G28</f>
        <v>6075.41</v>
      </c>
      <c r="D28" s="49">
        <v>0</v>
      </c>
      <c r="E28" s="43">
        <f t="shared" si="0"/>
        <v>6075.41</v>
      </c>
      <c r="F28" s="49">
        <f>+FACTURACIÓN!G28</f>
        <v>45.15</v>
      </c>
      <c r="G28" s="49">
        <f>+FACTURACIÓN!H28</f>
        <v>0</v>
      </c>
      <c r="H28" s="49">
        <f>+FACTURACIÓN!I28</f>
        <v>0</v>
      </c>
      <c r="I28" s="49">
        <f>+FACTURACIÓN!J28</f>
        <v>660.76600000000008</v>
      </c>
      <c r="J28" s="49">
        <v>0</v>
      </c>
      <c r="K28" s="49">
        <f t="shared" si="1"/>
        <v>705.91600000000005</v>
      </c>
      <c r="L28" s="57">
        <f t="shared" si="2"/>
        <v>5369.4939999999997</v>
      </c>
      <c r="N28" s="83" t="s">
        <v>198</v>
      </c>
      <c r="O28" s="96" t="s">
        <v>273</v>
      </c>
      <c r="P28" s="192" t="s">
        <v>235</v>
      </c>
      <c r="Q28" s="191" t="s">
        <v>86</v>
      </c>
    </row>
    <row r="29" spans="1:17" s="48" customFormat="1" ht="15.75" x14ac:dyDescent="0.25">
      <c r="A29" s="121" t="s">
        <v>236</v>
      </c>
      <c r="B29" s="120" t="s">
        <v>87</v>
      </c>
      <c r="C29" s="271">
        <f>+FACTURACIÓN!F29-'C&amp;A'!J29-'C&amp;A'!G29</f>
        <v>52.719999999999914</v>
      </c>
      <c r="D29" s="49">
        <v>0</v>
      </c>
      <c r="E29" s="43">
        <f t="shared" si="0"/>
        <v>52.719999999999914</v>
      </c>
      <c r="F29" s="49">
        <f>+FACTURACIÓN!G29</f>
        <v>45.15</v>
      </c>
      <c r="G29" s="49">
        <f>+FACTURACIÓN!H29</f>
        <v>0</v>
      </c>
      <c r="H29" s="49">
        <f>+FACTURACIÓN!I29</f>
        <v>0</v>
      </c>
      <c r="I29" s="49">
        <f>+FACTURACIÓN!J29</f>
        <v>0</v>
      </c>
      <c r="J29" s="49">
        <v>0</v>
      </c>
      <c r="K29" s="49">
        <f t="shared" si="1"/>
        <v>45.15</v>
      </c>
      <c r="L29" s="57">
        <f t="shared" si="2"/>
        <v>7.569999999999915</v>
      </c>
      <c r="N29" s="83" t="s">
        <v>197</v>
      </c>
      <c r="O29" s="96" t="s">
        <v>274</v>
      </c>
      <c r="P29" s="192" t="s">
        <v>236</v>
      </c>
      <c r="Q29" s="191" t="s">
        <v>87</v>
      </c>
    </row>
    <row r="30" spans="1:17" s="48" customFormat="1" ht="15.75" x14ac:dyDescent="0.25">
      <c r="A30" s="140" t="s">
        <v>237</v>
      </c>
      <c r="B30" s="139" t="s">
        <v>89</v>
      </c>
      <c r="C30" s="49">
        <f>+FACTURACIÓN!F30-'C&amp;A'!J30-'C&amp;A'!G30</f>
        <v>2430.0700000000002</v>
      </c>
      <c r="D30" s="49">
        <v>0</v>
      </c>
      <c r="E30" s="43">
        <f t="shared" si="0"/>
        <v>2430.0700000000002</v>
      </c>
      <c r="F30" s="49">
        <f>+FACTURACIÓN!G30</f>
        <v>45.15</v>
      </c>
      <c r="G30" s="49">
        <f>+FACTURACIÓN!H30</f>
        <v>0</v>
      </c>
      <c r="H30" s="49">
        <f>+FACTURACIÓN!I30</f>
        <v>0</v>
      </c>
      <c r="I30" s="49">
        <f>+FACTURACIÓN!J30</f>
        <v>0</v>
      </c>
      <c r="J30" s="49">
        <v>0</v>
      </c>
      <c r="K30" s="49">
        <f t="shared" si="1"/>
        <v>45.15</v>
      </c>
      <c r="L30" s="57">
        <f t="shared" si="2"/>
        <v>2384.92</v>
      </c>
      <c r="N30" s="83" t="s">
        <v>113</v>
      </c>
      <c r="O30" s="96" t="s">
        <v>278</v>
      </c>
      <c r="P30" s="192" t="s">
        <v>237</v>
      </c>
      <c r="Q30" s="191" t="s">
        <v>89</v>
      </c>
    </row>
    <row r="31" spans="1:17" s="48" customFormat="1" ht="15.75" x14ac:dyDescent="0.25">
      <c r="A31" s="121" t="s">
        <v>238</v>
      </c>
      <c r="B31" s="120" t="s">
        <v>90</v>
      </c>
      <c r="C31" s="49">
        <f>+FACTURACIÓN!F31-'C&amp;A'!J31-'C&amp;A'!G31</f>
        <v>1322.6</v>
      </c>
      <c r="D31" s="49">
        <v>0</v>
      </c>
      <c r="E31" s="43">
        <f t="shared" si="0"/>
        <v>1322.6</v>
      </c>
      <c r="F31" s="49">
        <f>+FACTURACIÓN!G31</f>
        <v>45.15</v>
      </c>
      <c r="G31" s="49">
        <f>+FACTURACIÓN!H31</f>
        <v>0</v>
      </c>
      <c r="H31" s="49">
        <f>+FACTURACIÓN!I31</f>
        <v>0</v>
      </c>
      <c r="I31" s="49">
        <f>+FACTURACIÓN!J31</f>
        <v>0</v>
      </c>
      <c r="J31" s="49">
        <v>0</v>
      </c>
      <c r="K31" s="49">
        <f t="shared" si="1"/>
        <v>45.15</v>
      </c>
      <c r="L31" s="57">
        <f t="shared" si="2"/>
        <v>1277.4499999999998</v>
      </c>
      <c r="N31" s="83" t="s">
        <v>33</v>
      </c>
      <c r="O31" s="96" t="s">
        <v>279</v>
      </c>
      <c r="P31" s="192" t="s">
        <v>238</v>
      </c>
      <c r="Q31" s="191" t="s">
        <v>90</v>
      </c>
    </row>
    <row r="32" spans="1:17" s="48" customFormat="1" ht="15.75" x14ac:dyDescent="0.25">
      <c r="A32" s="174" t="s">
        <v>294</v>
      </c>
      <c r="B32" s="173" t="s">
        <v>295</v>
      </c>
      <c r="C32" s="49">
        <f>+FACTURACIÓN!F32-'C&amp;A'!J32-'C&amp;A'!G32</f>
        <v>122.60000000000002</v>
      </c>
      <c r="D32" s="49">
        <v>0</v>
      </c>
      <c r="E32" s="43">
        <f t="shared" si="0"/>
        <v>122.60000000000002</v>
      </c>
      <c r="F32" s="49">
        <f>+FACTURACIÓN!G32</f>
        <v>45.15</v>
      </c>
      <c r="G32" s="49">
        <f>+FACTURACIÓN!H32</f>
        <v>0</v>
      </c>
      <c r="H32" s="49">
        <f>+FACTURACIÓN!I32</f>
        <v>0</v>
      </c>
      <c r="I32" s="49">
        <f>+FACTURACIÓN!J32</f>
        <v>0</v>
      </c>
      <c r="J32" s="49">
        <v>0</v>
      </c>
      <c r="K32" s="49">
        <f t="shared" si="1"/>
        <v>45.15</v>
      </c>
      <c r="L32" s="57">
        <f t="shared" si="2"/>
        <v>77.450000000000017</v>
      </c>
      <c r="N32" s="99" t="s">
        <v>280</v>
      </c>
      <c r="O32" s="162">
        <v>27213723165</v>
      </c>
      <c r="P32" s="192" t="s">
        <v>294</v>
      </c>
      <c r="Q32" s="191" t="s">
        <v>295</v>
      </c>
    </row>
    <row r="33" spans="1:17" s="48" customFormat="1" ht="15.75" x14ac:dyDescent="0.25">
      <c r="A33" s="121" t="s">
        <v>239</v>
      </c>
      <c r="B33" s="120" t="s">
        <v>91</v>
      </c>
      <c r="C33" s="49">
        <f>+FACTURACIÓN!F33-'C&amp;A'!J33-'C&amp;A'!G33</f>
        <v>122.60000000000002</v>
      </c>
      <c r="D33" s="49">
        <v>0</v>
      </c>
      <c r="E33" s="43">
        <f t="shared" si="0"/>
        <v>122.60000000000002</v>
      </c>
      <c r="F33" s="49">
        <f>+FACTURACIÓN!G33</f>
        <v>45.15</v>
      </c>
      <c r="G33" s="49">
        <f>+FACTURACIÓN!H33</f>
        <v>0</v>
      </c>
      <c r="H33" s="49">
        <f>+FACTURACIÓN!I33</f>
        <v>0</v>
      </c>
      <c r="I33" s="49">
        <f>+FACTURACIÓN!J33</f>
        <v>0</v>
      </c>
      <c r="J33" s="49">
        <v>0</v>
      </c>
      <c r="K33" s="49">
        <f t="shared" si="1"/>
        <v>45.15</v>
      </c>
      <c r="L33" s="57">
        <f t="shared" si="2"/>
        <v>77.450000000000017</v>
      </c>
      <c r="N33" s="83" t="s">
        <v>199</v>
      </c>
      <c r="O33" s="96" t="s">
        <v>281</v>
      </c>
      <c r="P33" s="192" t="s">
        <v>239</v>
      </c>
      <c r="Q33" s="191" t="s">
        <v>91</v>
      </c>
    </row>
    <row r="34" spans="1:17" s="48" customFormat="1" ht="15.75" x14ac:dyDescent="0.25">
      <c r="A34" s="121" t="s">
        <v>240</v>
      </c>
      <c r="B34" s="120" t="s">
        <v>92</v>
      </c>
      <c r="C34" s="49">
        <f>+FACTURACIÓN!F34-'C&amp;A'!J34-'C&amp;A'!G34</f>
        <v>6158.43</v>
      </c>
      <c r="D34" s="49">
        <v>0</v>
      </c>
      <c r="E34" s="43">
        <f t="shared" si="0"/>
        <v>6158.43</v>
      </c>
      <c r="F34" s="49">
        <f>+FACTURACIÓN!G34</f>
        <v>45.15</v>
      </c>
      <c r="G34" s="49">
        <f>+FACTURACIÓN!H34</f>
        <v>0</v>
      </c>
      <c r="H34" s="49">
        <f>+FACTURACIÓN!I34</f>
        <v>0</v>
      </c>
      <c r="I34" s="49">
        <f>+FACTURACIÓN!J34</f>
        <v>669.0680000000001</v>
      </c>
      <c r="J34" s="49">
        <v>0</v>
      </c>
      <c r="K34" s="49">
        <f t="shared" si="1"/>
        <v>714.21800000000007</v>
      </c>
      <c r="L34" s="57">
        <f t="shared" si="2"/>
        <v>5444.2120000000004</v>
      </c>
      <c r="N34" s="83" t="s">
        <v>62</v>
      </c>
      <c r="O34" s="96" t="s">
        <v>282</v>
      </c>
      <c r="P34" s="192" t="s">
        <v>240</v>
      </c>
      <c r="Q34" s="191" t="s">
        <v>92</v>
      </c>
    </row>
    <row r="35" spans="1:17" s="48" customFormat="1" ht="15.75" x14ac:dyDescent="0.25">
      <c r="A35" s="121" t="s">
        <v>241</v>
      </c>
      <c r="B35" s="120" t="s">
        <v>94</v>
      </c>
      <c r="C35" s="49">
        <f>+FACTURACIÓN!F35-'C&amp;A'!J35-'C&amp;A'!G35</f>
        <v>1238.6100000000001</v>
      </c>
      <c r="D35" s="49">
        <v>0</v>
      </c>
      <c r="E35" s="43">
        <f t="shared" si="0"/>
        <v>1238.6100000000001</v>
      </c>
      <c r="F35" s="49">
        <f>+FACTURACIÓN!G35</f>
        <v>45.15</v>
      </c>
      <c r="G35" s="49">
        <f>+FACTURACIÓN!H35</f>
        <v>0</v>
      </c>
      <c r="H35" s="49">
        <f>+FACTURACIÓN!I35</f>
        <v>0</v>
      </c>
      <c r="I35" s="49">
        <f>+FACTURACIÓN!J35</f>
        <v>0</v>
      </c>
      <c r="J35" s="49">
        <v>0</v>
      </c>
      <c r="K35" s="49">
        <f t="shared" si="1"/>
        <v>45.15</v>
      </c>
      <c r="L35" s="57">
        <f t="shared" si="2"/>
        <v>1193.46</v>
      </c>
      <c r="N35" s="83" t="s">
        <v>184</v>
      </c>
      <c r="O35" s="96" t="s">
        <v>283</v>
      </c>
      <c r="P35" s="192" t="s">
        <v>241</v>
      </c>
      <c r="Q35" s="191" t="s">
        <v>94</v>
      </c>
    </row>
    <row r="36" spans="1:17" s="48" customFormat="1" ht="15.75" x14ac:dyDescent="0.25">
      <c r="A36" s="121" t="s">
        <v>242</v>
      </c>
      <c r="B36" s="120" t="s">
        <v>96</v>
      </c>
      <c r="C36" s="49">
        <f>+FACTURACIÓN!F36-'C&amp;A'!J36-'C&amp;A'!G36</f>
        <v>1553.3999999999999</v>
      </c>
      <c r="D36" s="49">
        <v>0</v>
      </c>
      <c r="E36" s="43">
        <f t="shared" si="0"/>
        <v>1553.3999999999999</v>
      </c>
      <c r="F36" s="49">
        <f>+FACTURACIÓN!G36</f>
        <v>45.15</v>
      </c>
      <c r="G36" s="49">
        <f>+FACTURACIÓN!H36</f>
        <v>0</v>
      </c>
      <c r="H36" s="49">
        <f>+FACTURACIÓN!I36</f>
        <v>134.6</v>
      </c>
      <c r="I36" s="49">
        <f>+FACTURACIÓN!J36</f>
        <v>0</v>
      </c>
      <c r="J36" s="49">
        <v>0</v>
      </c>
      <c r="K36" s="49">
        <f t="shared" si="1"/>
        <v>179.75</v>
      </c>
      <c r="L36" s="57">
        <f t="shared" si="2"/>
        <v>1373.6499999999999</v>
      </c>
      <c r="M36" s="51"/>
      <c r="N36" s="83" t="s">
        <v>185</v>
      </c>
      <c r="O36" s="96" t="s">
        <v>284</v>
      </c>
      <c r="P36" s="192" t="s">
        <v>242</v>
      </c>
      <c r="Q36" s="191" t="s">
        <v>96</v>
      </c>
    </row>
    <row r="37" spans="1:17" s="51" customFormat="1" ht="15.75" x14ac:dyDescent="0.25">
      <c r="A37" s="121" t="s">
        <v>244</v>
      </c>
      <c r="B37" s="120" t="s">
        <v>218</v>
      </c>
      <c r="C37" s="49">
        <f>+FACTURACIÓN!F37-'C&amp;A'!J37-'C&amp;A'!G37</f>
        <v>122.79999999999995</v>
      </c>
      <c r="D37" s="49">
        <v>0</v>
      </c>
      <c r="E37" s="43">
        <f t="shared" si="0"/>
        <v>122.79999999999995</v>
      </c>
      <c r="F37" s="49">
        <f>+FACTURACIÓN!G37</f>
        <v>45.15</v>
      </c>
      <c r="G37" s="49">
        <f>+FACTURACIÓN!H37</f>
        <v>0</v>
      </c>
      <c r="H37" s="49">
        <f>+FACTURACIÓN!I37</f>
        <v>0</v>
      </c>
      <c r="I37" s="49">
        <f>+FACTURACIÓN!J37</f>
        <v>0</v>
      </c>
      <c r="J37" s="49">
        <v>0</v>
      </c>
      <c r="K37" s="49">
        <f t="shared" si="1"/>
        <v>45.15</v>
      </c>
      <c r="L37" s="57">
        <f t="shared" si="2"/>
        <v>77.649999999999949</v>
      </c>
      <c r="M37" s="48"/>
      <c r="N37" s="101" t="s">
        <v>202</v>
      </c>
      <c r="O37" s="152">
        <v>2973111075</v>
      </c>
      <c r="P37" s="192" t="s">
        <v>244</v>
      </c>
      <c r="Q37" s="191" t="s">
        <v>218</v>
      </c>
    </row>
    <row r="38" spans="1:17" s="53" customFormat="1" ht="15.75" x14ac:dyDescent="0.25">
      <c r="A38" s="121" t="s">
        <v>245</v>
      </c>
      <c r="B38" s="120" t="s">
        <v>98</v>
      </c>
      <c r="C38" s="49">
        <f>+FACTURACIÓN!F38-'C&amp;A'!J38-'C&amp;A'!G38</f>
        <v>9696.94</v>
      </c>
      <c r="D38" s="49">
        <v>0</v>
      </c>
      <c r="E38" s="43">
        <f t="shared" si="0"/>
        <v>9696.94</v>
      </c>
      <c r="F38" s="49">
        <f>+FACTURACIÓN!G38</f>
        <v>45.15</v>
      </c>
      <c r="G38" s="49">
        <f>+FACTURACIÓN!H38</f>
        <v>0</v>
      </c>
      <c r="H38" s="49">
        <f>+FACTURACIÓN!I38</f>
        <v>0</v>
      </c>
      <c r="I38" s="49">
        <f>+FACTURACIÓN!J38</f>
        <v>1022.9190000000001</v>
      </c>
      <c r="J38" s="49">
        <v>0</v>
      </c>
      <c r="K38" s="49">
        <f t="shared" si="1"/>
        <v>1068.0690000000002</v>
      </c>
      <c r="L38" s="57">
        <f t="shared" si="2"/>
        <v>8628.871000000001</v>
      </c>
      <c r="M38" s="2"/>
      <c r="N38" s="83" t="s">
        <v>201</v>
      </c>
      <c r="O38" s="96" t="s">
        <v>287</v>
      </c>
      <c r="P38" s="192" t="s">
        <v>245</v>
      </c>
      <c r="Q38" s="191" t="s">
        <v>98</v>
      </c>
    </row>
    <row r="39" spans="1:17" s="48" customFormat="1" x14ac:dyDescent="0.2">
      <c r="A39" s="50"/>
      <c r="B39" s="51"/>
      <c r="C39" s="51" t="s">
        <v>15</v>
      </c>
      <c r="D39" s="51" t="s">
        <v>15</v>
      </c>
      <c r="E39" s="51" t="s">
        <v>15</v>
      </c>
      <c r="F39" s="51" t="s">
        <v>15</v>
      </c>
      <c r="G39" s="51" t="s">
        <v>15</v>
      </c>
      <c r="H39" s="51" t="s">
        <v>15</v>
      </c>
      <c r="I39" s="51" t="s">
        <v>15</v>
      </c>
      <c r="J39" s="51" t="s">
        <v>15</v>
      </c>
      <c r="K39" s="51" t="s">
        <v>15</v>
      </c>
      <c r="L39" s="51" t="s">
        <v>15</v>
      </c>
      <c r="M39" s="2"/>
      <c r="N39" s="2"/>
      <c r="O39" s="2"/>
    </row>
    <row r="40" spans="1:17" ht="15" x14ac:dyDescent="0.25">
      <c r="A40" s="52" t="s">
        <v>16</v>
      </c>
      <c r="B40" s="53" t="s">
        <v>17</v>
      </c>
      <c r="C40" s="54">
        <f>SUM(C10:C39)</f>
        <v>96599.110000000044</v>
      </c>
      <c r="D40" s="54">
        <f t="shared" ref="D40:L40" si="3">SUM(D10:D39)</f>
        <v>0</v>
      </c>
      <c r="E40" s="54">
        <f t="shared" si="3"/>
        <v>96599.110000000044</v>
      </c>
      <c r="F40" s="54">
        <f t="shared" si="3"/>
        <v>1309.3500000000001</v>
      </c>
      <c r="G40" s="54">
        <f t="shared" si="3"/>
        <v>524.16999999999996</v>
      </c>
      <c r="H40" s="54">
        <f t="shared" si="3"/>
        <v>2195.1</v>
      </c>
      <c r="I40" s="54">
        <f t="shared" si="3"/>
        <v>8803.4730000000018</v>
      </c>
      <c r="J40" s="54">
        <f t="shared" si="3"/>
        <v>0</v>
      </c>
      <c r="K40" s="54">
        <f t="shared" si="3"/>
        <v>12832.092999999995</v>
      </c>
      <c r="L40" s="54">
        <f t="shared" si="3"/>
        <v>83767.016999999993</v>
      </c>
    </row>
    <row r="41" spans="1:17" x14ac:dyDescent="0.2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7" x14ac:dyDescent="0.2">
      <c r="C42" s="2" t="s">
        <v>17</v>
      </c>
      <c r="D42" s="2" t="s">
        <v>17</v>
      </c>
      <c r="E42" s="2" t="s">
        <v>17</v>
      </c>
      <c r="F42" s="2" t="s">
        <v>17</v>
      </c>
      <c r="G42" s="2" t="s">
        <v>17</v>
      </c>
      <c r="H42" s="2" t="s">
        <v>17</v>
      </c>
      <c r="I42" s="2" t="s">
        <v>17</v>
      </c>
      <c r="K42" s="2" t="s">
        <v>17</v>
      </c>
    </row>
    <row r="43" spans="1:17" x14ac:dyDescent="0.2">
      <c r="A43" s="3" t="s">
        <v>17</v>
      </c>
      <c r="B43" s="2" t="s">
        <v>17</v>
      </c>
      <c r="C43" s="9"/>
      <c r="D43" s="9"/>
      <c r="E43" s="9"/>
      <c r="F43" s="9"/>
      <c r="G43" s="9"/>
      <c r="H43" s="9"/>
      <c r="I43" s="9"/>
      <c r="J43" s="37"/>
      <c r="K43" s="9"/>
    </row>
    <row r="45" spans="1:17" x14ac:dyDescent="0.2">
      <c r="L45" s="138"/>
    </row>
  </sheetData>
  <sortState ref="N10:O40">
    <sortCondition ref="N10:N40"/>
  </sortState>
  <mergeCells count="1">
    <mergeCell ref="B1:C1"/>
  </mergeCells>
  <pageMargins left="0.26" right="0.4" top="0.74803149606299213" bottom="0.74803149606299213" header="0.31496062992125984" footer="0.31496062992125984"/>
  <pageSetup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8"/>
  <sheetViews>
    <sheetView workbookViewId="0">
      <pane xSplit="2" ySplit="9" topLeftCell="L10" activePane="bottomRight" state="frozen"/>
      <selection activeCell="B4" sqref="B4"/>
      <selection pane="topRight" activeCell="B4" sqref="B4"/>
      <selection pane="bottomLeft" activeCell="B4" sqref="B4"/>
      <selection pane="bottomRight" activeCell="L49" sqref="L49"/>
    </sheetView>
  </sheetViews>
  <sheetFormatPr baseColWidth="10" defaultRowHeight="11.25" x14ac:dyDescent="0.2"/>
  <cols>
    <col min="1" max="1" width="12.28515625" style="174" customWidth="1"/>
    <col min="2" max="2" width="30.7109375" style="173" customWidth="1"/>
    <col min="3" max="3" width="13" style="173" hidden="1" customWidth="1"/>
    <col min="4" max="4" width="13.5703125" style="173" hidden="1" customWidth="1"/>
    <col min="5" max="5" width="13" style="173" hidden="1" customWidth="1"/>
    <col min="6" max="6" width="11" style="173" hidden="1" customWidth="1"/>
    <col min="7" max="7" width="10.85546875" style="173" hidden="1" customWidth="1"/>
    <col min="8" max="11" width="13" style="173" hidden="1" customWidth="1"/>
    <col min="12" max="12" width="12.7109375" style="173" customWidth="1"/>
    <col min="13" max="13" width="15.85546875" style="173" bestFit="1" customWidth="1"/>
    <col min="14" max="14" width="39" style="173" bestFit="1" customWidth="1"/>
    <col min="15" max="15" width="13.5703125" style="173" bestFit="1" customWidth="1"/>
    <col min="16" max="16384" width="11.42578125" style="173"/>
  </cols>
  <sheetData>
    <row r="1" spans="1:15" ht="18" customHeight="1" x14ac:dyDescent="0.25">
      <c r="A1" s="116" t="s">
        <v>0</v>
      </c>
      <c r="B1" s="305" t="s">
        <v>17</v>
      </c>
      <c r="C1" s="306"/>
      <c r="I1" s="42"/>
      <c r="J1" s="42"/>
    </row>
    <row r="2" spans="1:15" ht="24.95" customHeight="1" x14ac:dyDescent="0.2">
      <c r="A2" s="117" t="s">
        <v>1</v>
      </c>
      <c r="B2" s="67" t="s">
        <v>2</v>
      </c>
      <c r="C2" s="11"/>
      <c r="D2" s="141"/>
      <c r="I2" s="42"/>
      <c r="J2" s="42"/>
    </row>
    <row r="3" spans="1:15" ht="15.75" x14ac:dyDescent="0.25">
      <c r="B3" s="142" t="s">
        <v>3</v>
      </c>
      <c r="C3" s="143"/>
      <c r="D3" s="141"/>
    </row>
    <row r="4" spans="1:15" ht="15" x14ac:dyDescent="0.25">
      <c r="B4" s="144" t="s">
        <v>248</v>
      </c>
      <c r="C4" s="143"/>
      <c r="D4" s="141"/>
    </row>
    <row r="5" spans="1:15" x14ac:dyDescent="0.2">
      <c r="B5" s="175" t="s">
        <v>296</v>
      </c>
    </row>
    <row r="6" spans="1:15" ht="23.25" thickBot="1" x14ac:dyDescent="0.25">
      <c r="B6" s="175" t="s">
        <v>5</v>
      </c>
      <c r="F6" s="19" t="s">
        <v>32</v>
      </c>
      <c r="G6" s="19" t="s">
        <v>165</v>
      </c>
      <c r="H6" s="19" t="s">
        <v>21</v>
      </c>
      <c r="I6" s="19" t="s">
        <v>289</v>
      </c>
    </row>
    <row r="7" spans="1:15" ht="12" thickTop="1" x14ac:dyDescent="0.2"/>
    <row r="8" spans="1:15" s="6" customFormat="1" ht="34.5" thickBot="1" x14ac:dyDescent="0.25">
      <c r="A8" s="118" t="s">
        <v>6</v>
      </c>
      <c r="B8" s="119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165</v>
      </c>
      <c r="H8" s="13" t="s">
        <v>21</v>
      </c>
      <c r="I8" s="13" t="s">
        <v>289</v>
      </c>
      <c r="J8" s="13" t="s">
        <v>11</v>
      </c>
      <c r="K8" s="12" t="s">
        <v>12</v>
      </c>
      <c r="L8" s="28" t="s">
        <v>13</v>
      </c>
    </row>
    <row r="9" spans="1:15" s="48" customFormat="1" ht="12" thickTop="1" x14ac:dyDescent="0.2">
      <c r="A9" s="56" t="s">
        <v>14</v>
      </c>
    </row>
    <row r="10" spans="1:15" s="48" customFormat="1" ht="15.75" x14ac:dyDescent="0.25">
      <c r="A10" s="174" t="s">
        <v>219</v>
      </c>
      <c r="B10" s="173" t="s">
        <v>67</v>
      </c>
      <c r="C10" s="49">
        <v>4107.3</v>
      </c>
      <c r="D10" s="49">
        <v>0</v>
      </c>
      <c r="E10" s="43">
        <v>4107.3</v>
      </c>
      <c r="F10" s="49">
        <v>0</v>
      </c>
      <c r="G10" s="49">
        <v>0</v>
      </c>
      <c r="H10" s="49">
        <v>0</v>
      </c>
      <c r="I10" s="49">
        <v>468.47</v>
      </c>
      <c r="J10" s="49">
        <v>0</v>
      </c>
      <c r="K10" s="49">
        <v>468.47</v>
      </c>
      <c r="L10" s="57">
        <v>3638.83</v>
      </c>
      <c r="M10" s="96" t="s">
        <v>254</v>
      </c>
      <c r="N10" s="83" t="s">
        <v>191</v>
      </c>
      <c r="O10" s="96" t="s">
        <v>254</v>
      </c>
    </row>
    <row r="11" spans="1:15" s="48" customFormat="1" ht="15.75" x14ac:dyDescent="0.25">
      <c r="A11" s="174" t="s">
        <v>220</v>
      </c>
      <c r="B11" s="173" t="s">
        <v>68</v>
      </c>
      <c r="C11" s="49">
        <v>1170.1799999999998</v>
      </c>
      <c r="D11" s="49">
        <v>0</v>
      </c>
      <c r="E11" s="43">
        <v>1170.1799999999998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7">
        <v>1170.1799999999998</v>
      </c>
      <c r="M11" s="96" t="s">
        <v>255</v>
      </c>
      <c r="N11" s="83" t="s">
        <v>192</v>
      </c>
      <c r="O11" s="96" t="s">
        <v>255</v>
      </c>
    </row>
    <row r="12" spans="1:15" s="48" customFormat="1" ht="15.75" x14ac:dyDescent="0.25">
      <c r="A12" s="174" t="s">
        <v>221</v>
      </c>
      <c r="B12" s="173" t="s">
        <v>69</v>
      </c>
      <c r="C12" s="49">
        <v>50.729999999999933</v>
      </c>
      <c r="D12" s="49">
        <v>0</v>
      </c>
      <c r="E12" s="43">
        <v>50.729999999999933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7">
        <v>50.729999999999933</v>
      </c>
      <c r="M12" s="96" t="s">
        <v>256</v>
      </c>
      <c r="N12" s="83" t="s">
        <v>190</v>
      </c>
      <c r="O12" s="96" t="s">
        <v>256</v>
      </c>
    </row>
    <row r="13" spans="1:15" s="48" customFormat="1" ht="15.75" x14ac:dyDescent="0.25">
      <c r="A13" s="174" t="s">
        <v>222</v>
      </c>
      <c r="B13" s="173" t="s">
        <v>216</v>
      </c>
      <c r="C13" s="49">
        <v>122.79999999999995</v>
      </c>
      <c r="D13" s="49">
        <v>0</v>
      </c>
      <c r="E13" s="43">
        <v>122.79999999999995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7">
        <v>122.79999999999995</v>
      </c>
      <c r="M13" s="152">
        <v>2858200513</v>
      </c>
      <c r="N13" s="101" t="s">
        <v>214</v>
      </c>
      <c r="O13" s="152">
        <v>2858200513</v>
      </c>
    </row>
    <row r="14" spans="1:15" s="48" customFormat="1" ht="15.75" x14ac:dyDescent="0.25">
      <c r="A14" s="174" t="s">
        <v>223</v>
      </c>
      <c r="B14" s="173" t="s">
        <v>70</v>
      </c>
      <c r="C14" s="49">
        <v>1172.5999999999999</v>
      </c>
      <c r="D14" s="49">
        <v>0</v>
      </c>
      <c r="E14" s="43">
        <v>1172.5999999999999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7">
        <v>1172.5999999999999</v>
      </c>
      <c r="M14" s="96" t="s">
        <v>257</v>
      </c>
      <c r="N14" s="83" t="s">
        <v>35</v>
      </c>
      <c r="O14" s="96" t="s">
        <v>257</v>
      </c>
    </row>
    <row r="15" spans="1:15" s="48" customFormat="1" ht="15.75" x14ac:dyDescent="0.25">
      <c r="A15" s="174" t="s">
        <v>224</v>
      </c>
      <c r="B15" s="173" t="s">
        <v>71</v>
      </c>
      <c r="C15" s="49">
        <v>0</v>
      </c>
      <c r="D15" s="49">
        <v>0</v>
      </c>
      <c r="E15" s="43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7">
        <v>0</v>
      </c>
      <c r="M15" s="96" t="s">
        <v>259</v>
      </c>
      <c r="N15" s="83" t="s">
        <v>182</v>
      </c>
      <c r="O15" s="96" t="s">
        <v>259</v>
      </c>
    </row>
    <row r="16" spans="1:15" s="48" customFormat="1" ht="15.75" x14ac:dyDescent="0.25">
      <c r="A16" s="174" t="s">
        <v>225</v>
      </c>
      <c r="B16" s="173" t="s">
        <v>72</v>
      </c>
      <c r="C16" s="49">
        <v>7201.4400000000005</v>
      </c>
      <c r="D16" s="49">
        <v>0</v>
      </c>
      <c r="E16" s="43">
        <v>7201.4400000000005</v>
      </c>
      <c r="F16" s="49">
        <v>0</v>
      </c>
      <c r="G16" s="49">
        <v>0</v>
      </c>
      <c r="H16" s="49">
        <v>323.13</v>
      </c>
      <c r="I16" s="49">
        <v>777.88400000000001</v>
      </c>
      <c r="J16" s="49">
        <v>0</v>
      </c>
      <c r="K16" s="49">
        <v>1101.0140000000001</v>
      </c>
      <c r="L16" s="57">
        <v>6100.4260000000004</v>
      </c>
      <c r="M16" s="96" t="s">
        <v>260</v>
      </c>
      <c r="N16" s="83" t="s">
        <v>193</v>
      </c>
      <c r="O16" s="96" t="s">
        <v>260</v>
      </c>
    </row>
    <row r="17" spans="1:15" s="48" customFormat="1" ht="15.75" x14ac:dyDescent="0.25">
      <c r="A17" s="174" t="s">
        <v>290</v>
      </c>
      <c r="B17" s="173" t="s">
        <v>292</v>
      </c>
      <c r="C17" s="49">
        <v>1100.8</v>
      </c>
      <c r="D17" s="49">
        <v>0</v>
      </c>
      <c r="E17" s="43">
        <v>1100.8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57">
        <v>1100.8</v>
      </c>
      <c r="M17" s="152">
        <v>1449517286</v>
      </c>
      <c r="N17" s="23" t="s">
        <v>261</v>
      </c>
      <c r="O17" s="152">
        <v>1449517286</v>
      </c>
    </row>
    <row r="18" spans="1:15" s="48" customFormat="1" ht="15.75" x14ac:dyDescent="0.25">
      <c r="A18" s="174" t="s">
        <v>226</v>
      </c>
      <c r="B18" s="173" t="s">
        <v>74</v>
      </c>
      <c r="C18" s="49">
        <v>41858.69</v>
      </c>
      <c r="D18" s="49">
        <v>0</v>
      </c>
      <c r="E18" s="43">
        <v>41858.69</v>
      </c>
      <c r="F18" s="49">
        <v>0</v>
      </c>
      <c r="G18" s="49">
        <v>0</v>
      </c>
      <c r="H18" s="49">
        <v>0</v>
      </c>
      <c r="I18" s="49">
        <v>4243.5889999999999</v>
      </c>
      <c r="J18" s="49">
        <v>0</v>
      </c>
      <c r="K18" s="49">
        <v>4243.5889999999999</v>
      </c>
      <c r="L18" s="57">
        <v>37615.101000000002</v>
      </c>
      <c r="M18" s="96" t="s">
        <v>262</v>
      </c>
      <c r="N18" s="101" t="s">
        <v>187</v>
      </c>
      <c r="O18" s="96" t="s">
        <v>262</v>
      </c>
    </row>
    <row r="19" spans="1:15" s="48" customFormat="1" ht="15.75" x14ac:dyDescent="0.25">
      <c r="A19" s="47" t="s">
        <v>227</v>
      </c>
      <c r="B19" s="48" t="s">
        <v>75</v>
      </c>
      <c r="C19" s="49">
        <v>0</v>
      </c>
      <c r="D19" s="49">
        <v>0</v>
      </c>
      <c r="E19" s="43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57">
        <v>0</v>
      </c>
      <c r="M19" s="96" t="s">
        <v>263</v>
      </c>
      <c r="N19" s="83" t="s">
        <v>194</v>
      </c>
      <c r="O19" s="96" t="s">
        <v>263</v>
      </c>
    </row>
    <row r="20" spans="1:15" s="48" customFormat="1" ht="15.75" x14ac:dyDescent="0.25">
      <c r="A20" s="47" t="s">
        <v>247</v>
      </c>
      <c r="B20" s="48" t="s">
        <v>76</v>
      </c>
      <c r="C20" s="49">
        <v>2843.9900000000002</v>
      </c>
      <c r="D20" s="49">
        <v>0</v>
      </c>
      <c r="E20" s="43">
        <v>2843.9900000000002</v>
      </c>
      <c r="F20" s="49">
        <v>0</v>
      </c>
      <c r="G20" s="49">
        <v>0</v>
      </c>
      <c r="H20" s="49">
        <v>498.65</v>
      </c>
      <c r="I20" s="49">
        <v>0</v>
      </c>
      <c r="J20" s="49">
        <v>0</v>
      </c>
      <c r="K20" s="49">
        <v>498.65</v>
      </c>
      <c r="L20" s="57">
        <v>2345.34</v>
      </c>
      <c r="M20" s="96" t="s">
        <v>264</v>
      </c>
      <c r="N20" s="83" t="s">
        <v>180</v>
      </c>
      <c r="O20" s="96" t="s">
        <v>264</v>
      </c>
    </row>
    <row r="21" spans="1:15" s="48" customFormat="1" ht="15.75" x14ac:dyDescent="0.25">
      <c r="A21" s="47" t="s">
        <v>228</v>
      </c>
      <c r="B21" s="48" t="s">
        <v>217</v>
      </c>
      <c r="C21" s="49">
        <v>122.79999999999995</v>
      </c>
      <c r="D21" s="49">
        <v>0</v>
      </c>
      <c r="E21" s="43">
        <v>122.79999999999995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7">
        <v>122.79999999999995</v>
      </c>
      <c r="M21" s="152">
        <v>2778164622</v>
      </c>
      <c r="N21" s="101" t="s">
        <v>203</v>
      </c>
      <c r="O21" s="152">
        <v>2778164622</v>
      </c>
    </row>
    <row r="22" spans="1:15" s="48" customFormat="1" ht="15.75" x14ac:dyDescent="0.25">
      <c r="A22" s="47" t="s">
        <v>229</v>
      </c>
      <c r="B22" s="48" t="s">
        <v>78</v>
      </c>
      <c r="C22" s="49">
        <v>75785.260000000009</v>
      </c>
      <c r="D22" s="49">
        <v>0</v>
      </c>
      <c r="E22" s="43">
        <v>75785.260000000009</v>
      </c>
      <c r="F22" s="49">
        <v>0</v>
      </c>
      <c r="G22" s="49">
        <v>524.16999999999996</v>
      </c>
      <c r="H22" s="49">
        <v>144.03</v>
      </c>
      <c r="I22" s="49">
        <v>7636.2660000000005</v>
      </c>
      <c r="J22" s="49">
        <v>0</v>
      </c>
      <c r="K22" s="49">
        <v>8304.4660000000003</v>
      </c>
      <c r="L22" s="57">
        <v>67480.794000000009</v>
      </c>
      <c r="M22" s="96" t="s">
        <v>266</v>
      </c>
      <c r="N22" s="83" t="s">
        <v>189</v>
      </c>
      <c r="O22" s="96" t="s">
        <v>266</v>
      </c>
    </row>
    <row r="23" spans="1:15" s="48" customFormat="1" ht="15.75" x14ac:dyDescent="0.25">
      <c r="A23" s="47" t="s">
        <v>230</v>
      </c>
      <c r="B23" s="48" t="s">
        <v>79</v>
      </c>
      <c r="C23" s="49">
        <v>12414.87</v>
      </c>
      <c r="D23" s="49">
        <v>0</v>
      </c>
      <c r="E23" s="43">
        <v>12414.87</v>
      </c>
      <c r="F23" s="49">
        <v>0</v>
      </c>
      <c r="G23" s="49">
        <v>0</v>
      </c>
      <c r="H23" s="49">
        <v>0</v>
      </c>
      <c r="I23" s="49">
        <v>1299.2270000000001</v>
      </c>
      <c r="J23" s="49">
        <v>0</v>
      </c>
      <c r="K23" s="49">
        <v>1299.2270000000001</v>
      </c>
      <c r="L23" s="57">
        <v>11115.643</v>
      </c>
      <c r="M23" s="96" t="s">
        <v>267</v>
      </c>
      <c r="N23" s="83" t="s">
        <v>196</v>
      </c>
      <c r="O23" s="96" t="s">
        <v>267</v>
      </c>
    </row>
    <row r="24" spans="1:15" s="48" customFormat="1" ht="15.75" x14ac:dyDescent="0.25">
      <c r="A24" s="47" t="s">
        <v>231</v>
      </c>
      <c r="B24" s="48" t="s">
        <v>80</v>
      </c>
      <c r="C24" s="49">
        <v>9993.86</v>
      </c>
      <c r="D24" s="49">
        <v>0</v>
      </c>
      <c r="E24" s="43">
        <v>9993.86</v>
      </c>
      <c r="F24" s="49">
        <v>0</v>
      </c>
      <c r="G24" s="49">
        <v>0</v>
      </c>
      <c r="H24" s="49">
        <v>0</v>
      </c>
      <c r="I24" s="49">
        <v>1057.126</v>
      </c>
      <c r="J24" s="49">
        <v>0</v>
      </c>
      <c r="K24" s="49">
        <v>1057.126</v>
      </c>
      <c r="L24" s="57">
        <v>8936.7340000000004</v>
      </c>
      <c r="M24" s="96" t="s">
        <v>268</v>
      </c>
      <c r="N24" s="83" t="s">
        <v>195</v>
      </c>
      <c r="O24" s="96" t="s">
        <v>268</v>
      </c>
    </row>
    <row r="25" spans="1:15" s="48" customFormat="1" ht="15.75" x14ac:dyDescent="0.25">
      <c r="A25" s="47" t="s">
        <v>232</v>
      </c>
      <c r="B25" s="48" t="s">
        <v>81</v>
      </c>
      <c r="C25" s="49">
        <v>0</v>
      </c>
      <c r="D25" s="49">
        <v>0</v>
      </c>
      <c r="E25" s="43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7">
        <v>0</v>
      </c>
      <c r="M25" s="96" t="s">
        <v>270</v>
      </c>
      <c r="N25" s="83" t="s">
        <v>269</v>
      </c>
      <c r="O25" s="96" t="s">
        <v>270</v>
      </c>
    </row>
    <row r="26" spans="1:15" s="48" customFormat="1" ht="15.75" x14ac:dyDescent="0.25">
      <c r="A26" s="174" t="s">
        <v>233</v>
      </c>
      <c r="B26" s="173" t="s">
        <v>82</v>
      </c>
      <c r="C26" s="49">
        <v>0</v>
      </c>
      <c r="D26" s="49">
        <v>0</v>
      </c>
      <c r="E26" s="43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7">
        <v>0</v>
      </c>
      <c r="M26" s="96" t="s">
        <v>271</v>
      </c>
      <c r="N26" s="83" t="s">
        <v>183</v>
      </c>
      <c r="O26" s="96" t="s">
        <v>271</v>
      </c>
    </row>
    <row r="27" spans="1:15" s="48" customFormat="1" ht="15.75" x14ac:dyDescent="0.25">
      <c r="A27" s="174" t="s">
        <v>234</v>
      </c>
      <c r="B27" s="173" t="s">
        <v>84</v>
      </c>
      <c r="C27" s="49">
        <v>2349.04</v>
      </c>
      <c r="D27" s="49">
        <v>0</v>
      </c>
      <c r="E27" s="43">
        <v>2349.04</v>
      </c>
      <c r="F27" s="49">
        <v>0</v>
      </c>
      <c r="G27" s="49">
        <v>0</v>
      </c>
      <c r="H27" s="49">
        <v>89.36</v>
      </c>
      <c r="I27" s="49">
        <v>0</v>
      </c>
      <c r="J27" s="49">
        <v>0</v>
      </c>
      <c r="K27" s="49">
        <v>89.36</v>
      </c>
      <c r="L27" s="57">
        <v>2259.6799999999998</v>
      </c>
      <c r="M27" s="96" t="s">
        <v>272</v>
      </c>
      <c r="N27" s="83" t="s">
        <v>179</v>
      </c>
      <c r="O27" s="96" t="s">
        <v>272</v>
      </c>
    </row>
    <row r="28" spans="1:15" s="48" customFormat="1" ht="15.75" x14ac:dyDescent="0.25">
      <c r="A28" s="174" t="s">
        <v>235</v>
      </c>
      <c r="B28" s="173" t="s">
        <v>86</v>
      </c>
      <c r="C28" s="49">
        <v>15723.6</v>
      </c>
      <c r="D28" s="49">
        <v>0</v>
      </c>
      <c r="E28" s="43">
        <v>15723.6</v>
      </c>
      <c r="F28" s="49">
        <v>0</v>
      </c>
      <c r="G28" s="49">
        <v>0</v>
      </c>
      <c r="H28" s="49">
        <v>0</v>
      </c>
      <c r="I28" s="49">
        <v>1630.1000000000001</v>
      </c>
      <c r="J28" s="49">
        <v>0</v>
      </c>
      <c r="K28" s="49">
        <v>1630.1000000000001</v>
      </c>
      <c r="L28" s="57">
        <v>14093.5</v>
      </c>
      <c r="M28" s="96" t="s">
        <v>273</v>
      </c>
      <c r="N28" s="83" t="s">
        <v>198</v>
      </c>
      <c r="O28" s="96" t="s">
        <v>273</v>
      </c>
    </row>
    <row r="29" spans="1:15" s="48" customFormat="1" ht="15.75" x14ac:dyDescent="0.25">
      <c r="A29" s="174" t="s">
        <v>236</v>
      </c>
      <c r="B29" s="173" t="s">
        <v>87</v>
      </c>
      <c r="C29" s="49">
        <v>22271.8</v>
      </c>
      <c r="D29" s="49">
        <v>0</v>
      </c>
      <c r="E29" s="43">
        <v>22271.8</v>
      </c>
      <c r="F29" s="49">
        <v>0</v>
      </c>
      <c r="G29" s="49">
        <v>0</v>
      </c>
      <c r="H29" s="49">
        <v>0</v>
      </c>
      <c r="I29" s="49">
        <v>2284.92</v>
      </c>
      <c r="J29" s="49">
        <v>0</v>
      </c>
      <c r="K29" s="49">
        <v>2284.92</v>
      </c>
      <c r="L29" s="57">
        <v>19986.879999999997</v>
      </c>
      <c r="M29" s="96" t="s">
        <v>274</v>
      </c>
      <c r="N29" s="83" t="s">
        <v>197</v>
      </c>
      <c r="O29" s="96" t="s">
        <v>274</v>
      </c>
    </row>
    <row r="30" spans="1:15" s="48" customFormat="1" ht="15.75" x14ac:dyDescent="0.25">
      <c r="A30" s="174" t="s">
        <v>237</v>
      </c>
      <c r="B30" s="173" t="s">
        <v>89</v>
      </c>
      <c r="C30" s="49">
        <v>2268.5300000000002</v>
      </c>
      <c r="D30" s="49">
        <v>0</v>
      </c>
      <c r="E30" s="43">
        <v>2268.5300000000002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7">
        <v>2268.5300000000002</v>
      </c>
      <c r="M30" s="96" t="s">
        <v>278</v>
      </c>
      <c r="N30" s="83" t="s">
        <v>113</v>
      </c>
      <c r="O30" s="96" t="s">
        <v>278</v>
      </c>
    </row>
    <row r="31" spans="1:15" s="48" customFormat="1" ht="15.75" x14ac:dyDescent="0.25">
      <c r="A31" s="174" t="s">
        <v>238</v>
      </c>
      <c r="B31" s="173" t="s">
        <v>90</v>
      </c>
      <c r="C31" s="49">
        <v>15315.99</v>
      </c>
      <c r="D31" s="49">
        <v>0</v>
      </c>
      <c r="E31" s="43">
        <v>15315.99</v>
      </c>
      <c r="F31" s="49">
        <v>0</v>
      </c>
      <c r="G31" s="49">
        <v>0</v>
      </c>
      <c r="H31" s="49">
        <v>0</v>
      </c>
      <c r="I31" s="49">
        <v>1589.3389999999999</v>
      </c>
      <c r="J31" s="49">
        <v>0</v>
      </c>
      <c r="K31" s="49">
        <v>1589.3389999999999</v>
      </c>
      <c r="L31" s="57">
        <v>13726.651</v>
      </c>
      <c r="M31" s="96" t="s">
        <v>279</v>
      </c>
      <c r="N31" s="83" t="s">
        <v>33</v>
      </c>
      <c r="O31" s="96" t="s">
        <v>279</v>
      </c>
    </row>
    <row r="32" spans="1:15" s="48" customFormat="1" ht="15.75" x14ac:dyDescent="0.25">
      <c r="A32" s="174" t="s">
        <v>294</v>
      </c>
      <c r="B32" s="173" t="s">
        <v>295</v>
      </c>
      <c r="C32" s="49">
        <v>122.60000000000002</v>
      </c>
      <c r="D32" s="49">
        <v>0</v>
      </c>
      <c r="E32" s="43">
        <v>122.60000000000002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7">
        <v>122.60000000000002</v>
      </c>
      <c r="M32" s="115">
        <v>2721372165</v>
      </c>
      <c r="N32" s="99" t="s">
        <v>280</v>
      </c>
      <c r="O32">
        <v>2721372165</v>
      </c>
    </row>
    <row r="33" spans="1:15" s="48" customFormat="1" ht="15.75" x14ac:dyDescent="0.25">
      <c r="A33" s="174" t="s">
        <v>239</v>
      </c>
      <c r="B33" s="173" t="s">
        <v>91</v>
      </c>
      <c r="C33" s="49">
        <v>122.60000000000002</v>
      </c>
      <c r="D33" s="49">
        <v>0</v>
      </c>
      <c r="E33" s="43">
        <v>122.60000000000002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57">
        <v>122.60000000000002</v>
      </c>
      <c r="M33" s="96" t="s">
        <v>281</v>
      </c>
      <c r="N33" s="83" t="s">
        <v>199</v>
      </c>
      <c r="O33" s="96" t="s">
        <v>281</v>
      </c>
    </row>
    <row r="34" spans="1:15" s="48" customFormat="1" ht="15.75" x14ac:dyDescent="0.25">
      <c r="A34" s="174" t="s">
        <v>240</v>
      </c>
      <c r="B34" s="173" t="s">
        <v>92</v>
      </c>
      <c r="C34" s="49">
        <v>1644.5099999999998</v>
      </c>
      <c r="D34" s="49">
        <v>0</v>
      </c>
      <c r="E34" s="43">
        <v>1644.5099999999998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57">
        <v>1644.5099999999998</v>
      </c>
      <c r="M34" s="96" t="s">
        <v>282</v>
      </c>
      <c r="N34" s="83" t="s">
        <v>62</v>
      </c>
      <c r="O34" s="96" t="s">
        <v>282</v>
      </c>
    </row>
    <row r="35" spans="1:15" s="48" customFormat="1" ht="15.75" x14ac:dyDescent="0.25">
      <c r="A35" s="174" t="s">
        <v>241</v>
      </c>
      <c r="B35" s="173" t="s">
        <v>94</v>
      </c>
      <c r="C35" s="49">
        <v>3250.2099999999996</v>
      </c>
      <c r="D35" s="49">
        <v>0</v>
      </c>
      <c r="E35" s="43">
        <v>3250.2099999999996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57">
        <v>3250.2099999999996</v>
      </c>
      <c r="M35" s="96" t="s">
        <v>283</v>
      </c>
      <c r="N35" s="83" t="s">
        <v>184</v>
      </c>
      <c r="O35" s="96" t="s">
        <v>283</v>
      </c>
    </row>
    <row r="36" spans="1:15" s="51" customFormat="1" ht="15.75" x14ac:dyDescent="0.25">
      <c r="A36" s="174" t="s">
        <v>242</v>
      </c>
      <c r="B36" s="173" t="s">
        <v>96</v>
      </c>
      <c r="C36" s="49">
        <v>0</v>
      </c>
      <c r="D36" s="49">
        <v>0</v>
      </c>
      <c r="E36" s="43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57">
        <v>0</v>
      </c>
      <c r="M36" s="96" t="s">
        <v>284</v>
      </c>
      <c r="N36" s="83" t="s">
        <v>185</v>
      </c>
      <c r="O36" s="96" t="s">
        <v>284</v>
      </c>
    </row>
    <row r="37" spans="1:15" s="53" customFormat="1" ht="15.75" x14ac:dyDescent="0.25">
      <c r="A37" s="174" t="s">
        <v>243</v>
      </c>
      <c r="B37" s="173" t="s">
        <v>97</v>
      </c>
      <c r="C37" s="49">
        <v>8193.94</v>
      </c>
      <c r="D37" s="49">
        <v>0</v>
      </c>
      <c r="E37" s="43">
        <v>8193.94</v>
      </c>
      <c r="F37" s="49">
        <v>0</v>
      </c>
      <c r="G37" s="49">
        <v>0</v>
      </c>
      <c r="H37" s="49">
        <v>1148.7</v>
      </c>
      <c r="I37" s="49">
        <v>819.39400000000012</v>
      </c>
      <c r="J37" s="49">
        <v>0</v>
      </c>
      <c r="K37" s="49">
        <v>1968.0940000000001</v>
      </c>
      <c r="L37" s="57">
        <v>6225.8460000000005</v>
      </c>
      <c r="M37" s="96" t="s">
        <v>286</v>
      </c>
      <c r="N37" s="83" t="s">
        <v>200</v>
      </c>
      <c r="O37" s="96" t="s">
        <v>286</v>
      </c>
    </row>
    <row r="38" spans="1:15" s="48" customFormat="1" ht="15.75" x14ac:dyDescent="0.25">
      <c r="A38" s="174" t="s">
        <v>244</v>
      </c>
      <c r="B38" s="173" t="s">
        <v>218</v>
      </c>
      <c r="C38" s="49">
        <v>122.79999999999995</v>
      </c>
      <c r="D38" s="49">
        <v>0</v>
      </c>
      <c r="E38" s="43">
        <v>122.79999999999995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57">
        <v>122.79999999999995</v>
      </c>
      <c r="M38" s="152">
        <v>2973111075</v>
      </c>
      <c r="N38" s="101" t="s">
        <v>202</v>
      </c>
      <c r="O38" s="152">
        <v>2973111075</v>
      </c>
    </row>
    <row r="39" spans="1:15" ht="15.75" x14ac:dyDescent="0.25">
      <c r="A39" s="174" t="s">
        <v>245</v>
      </c>
      <c r="B39" s="173" t="s">
        <v>98</v>
      </c>
      <c r="C39" s="49">
        <v>66.019999999999868</v>
      </c>
      <c r="D39" s="49">
        <v>0</v>
      </c>
      <c r="E39" s="43">
        <v>66.019999999999868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57">
        <v>66.019999999999868</v>
      </c>
      <c r="M39" s="96" t="s">
        <v>287</v>
      </c>
      <c r="N39" s="83" t="s">
        <v>201</v>
      </c>
      <c r="O39" s="96" t="s">
        <v>287</v>
      </c>
    </row>
    <row r="40" spans="1:15" x14ac:dyDescent="0.2">
      <c r="A40" s="50"/>
      <c r="B40" s="51"/>
      <c r="C40" s="51" t="s">
        <v>15</v>
      </c>
      <c r="D40" s="51" t="s">
        <v>15</v>
      </c>
      <c r="E40" s="51" t="s">
        <v>15</v>
      </c>
      <c r="F40" s="51" t="s">
        <v>15</v>
      </c>
      <c r="G40" s="51" t="s">
        <v>15</v>
      </c>
      <c r="H40" s="51" t="s">
        <v>15</v>
      </c>
      <c r="I40" s="51" t="s">
        <v>15</v>
      </c>
      <c r="J40" s="51" t="s">
        <v>15</v>
      </c>
      <c r="K40" s="51" t="s">
        <v>15</v>
      </c>
      <c r="L40" s="51" t="s">
        <v>15</v>
      </c>
    </row>
    <row r="41" spans="1:15" ht="15.75" thickBot="1" x14ac:dyDescent="0.3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185">
        <f>SUM(L10:L40)</f>
        <v>204862.60500000001</v>
      </c>
    </row>
    <row r="42" spans="1:15" x14ac:dyDescent="0.2">
      <c r="A42" s="47"/>
      <c r="B42" s="48" t="s">
        <v>299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5" s="48" customFormat="1" ht="15.75" x14ac:dyDescent="0.25">
      <c r="A43" s="47" t="s">
        <v>291</v>
      </c>
      <c r="B43" s="48" t="s">
        <v>293</v>
      </c>
      <c r="C43" s="49">
        <v>122.60000000000002</v>
      </c>
      <c r="D43" s="49">
        <v>0</v>
      </c>
      <c r="E43" s="43">
        <v>122.60000000000002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57">
        <v>122.60000000000002</v>
      </c>
      <c r="M43" s="160"/>
      <c r="N43" s="99" t="s">
        <v>275</v>
      </c>
      <c r="O43" s="160"/>
    </row>
    <row r="44" spans="1:15" ht="15.75" thickBot="1" x14ac:dyDescent="0.3">
      <c r="A44" s="174" t="s">
        <v>17</v>
      </c>
      <c r="B44" s="173" t="s">
        <v>17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85">
        <f>SUM(L43)</f>
        <v>122.60000000000002</v>
      </c>
    </row>
    <row r="46" spans="1:15" x14ac:dyDescent="0.2">
      <c r="B46" s="173" t="s">
        <v>298</v>
      </c>
      <c r="L46" s="176">
        <f>+L41</f>
        <v>204862.60500000001</v>
      </c>
    </row>
    <row r="47" spans="1:15" x14ac:dyDescent="0.2">
      <c r="B47" s="173" t="s">
        <v>299</v>
      </c>
      <c r="L47" s="176">
        <f>+L44</f>
        <v>122.60000000000002</v>
      </c>
    </row>
    <row r="48" spans="1:15" ht="15.75" thickBot="1" x14ac:dyDescent="0.3">
      <c r="L48" s="185">
        <f>SUM(L46:L47)</f>
        <v>204985.20500000002</v>
      </c>
    </row>
  </sheetData>
  <mergeCells count="1">
    <mergeCell ref="B1:C1"/>
  </mergeCells>
  <pageMargins left="0.7" right="0.7" top="0.46" bottom="0.75" header="0.3" footer="0.3"/>
  <pageSetup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A109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D29" sqref="D29"/>
    </sheetView>
  </sheetViews>
  <sheetFormatPr baseColWidth="10" defaultRowHeight="15" x14ac:dyDescent="0.25"/>
  <cols>
    <col min="1" max="1" width="11.42578125" style="31"/>
    <col min="2" max="2" width="25.85546875" style="31" bestFit="1" customWidth="1"/>
    <col min="3" max="3" width="11.42578125" style="40"/>
    <col min="4" max="16384" width="11.42578125" style="31"/>
  </cols>
  <sheetData>
    <row r="1" spans="1:3" x14ac:dyDescent="0.25">
      <c r="A1" s="31" t="s">
        <v>18</v>
      </c>
      <c r="B1" s="31" t="s">
        <v>114</v>
      </c>
      <c r="C1" s="40" t="s">
        <v>115</v>
      </c>
    </row>
    <row r="2" spans="1:3" x14ac:dyDescent="0.25">
      <c r="A2" s="31" t="s">
        <v>19</v>
      </c>
      <c r="B2" s="31" t="s">
        <v>116</v>
      </c>
      <c r="C2" s="40" t="s">
        <v>19</v>
      </c>
    </row>
    <row r="3" spans="1:3" x14ac:dyDescent="0.25">
      <c r="A3" s="38" t="s">
        <v>42</v>
      </c>
      <c r="B3" s="38" t="s">
        <v>125</v>
      </c>
      <c r="C3" s="39">
        <v>0</v>
      </c>
    </row>
    <row r="4" spans="1:3" x14ac:dyDescent="0.25">
      <c r="A4" s="38" t="s">
        <v>44</v>
      </c>
      <c r="B4" s="38" t="s">
        <v>126</v>
      </c>
      <c r="C4" s="39">
        <v>0</v>
      </c>
    </row>
    <row r="5" spans="1:3" x14ac:dyDescent="0.25">
      <c r="A5" s="38" t="s">
        <v>45</v>
      </c>
      <c r="B5" s="38" t="s">
        <v>127</v>
      </c>
      <c r="C5" s="39">
        <v>0</v>
      </c>
    </row>
    <row r="6" spans="1:3" x14ac:dyDescent="0.25">
      <c r="A6" s="38" t="s">
        <v>41</v>
      </c>
      <c r="B6" s="38" t="s">
        <v>124</v>
      </c>
      <c r="C6" s="39">
        <v>134.46</v>
      </c>
    </row>
    <row r="7" spans="1:3" x14ac:dyDescent="0.25">
      <c r="A7" s="38" t="s">
        <v>36</v>
      </c>
      <c r="B7" s="38" t="s">
        <v>117</v>
      </c>
      <c r="C7" s="39">
        <v>0</v>
      </c>
    </row>
    <row r="8" spans="1:3" x14ac:dyDescent="0.25">
      <c r="A8" s="38" t="s">
        <v>49</v>
      </c>
      <c r="B8" s="38" t="s">
        <v>128</v>
      </c>
      <c r="C8" s="39">
        <v>134.6</v>
      </c>
    </row>
    <row r="9" spans="1:3" x14ac:dyDescent="0.25">
      <c r="A9" s="38" t="s">
        <v>50</v>
      </c>
      <c r="B9" s="38" t="s">
        <v>129</v>
      </c>
      <c r="C9" s="39">
        <v>240.83</v>
      </c>
    </row>
    <row r="10" spans="1:3" x14ac:dyDescent="0.25">
      <c r="A10" s="38">
        <v>5</v>
      </c>
      <c r="B10" s="38" t="s">
        <v>122</v>
      </c>
      <c r="C10" s="39">
        <v>0</v>
      </c>
    </row>
    <row r="11" spans="1:3" x14ac:dyDescent="0.25">
      <c r="A11" s="38" t="s">
        <v>51</v>
      </c>
      <c r="B11" s="38" t="s">
        <v>130</v>
      </c>
      <c r="C11" s="39">
        <v>0</v>
      </c>
    </row>
    <row r="12" spans="1:3" x14ac:dyDescent="0.25">
      <c r="A12" s="38" t="s">
        <v>38</v>
      </c>
      <c r="B12" s="38" t="s">
        <v>119</v>
      </c>
      <c r="C12" s="39">
        <v>498.65</v>
      </c>
    </row>
    <row r="13" spans="1:3" x14ac:dyDescent="0.25">
      <c r="A13" s="38">
        <v>21</v>
      </c>
      <c r="B13" s="38" t="s">
        <v>123</v>
      </c>
      <c r="C13" s="39">
        <v>144.03</v>
      </c>
    </row>
    <row r="14" spans="1:3" x14ac:dyDescent="0.25">
      <c r="A14" s="38" t="s">
        <v>53</v>
      </c>
      <c r="B14" s="38" t="s">
        <v>132</v>
      </c>
      <c r="C14" s="39">
        <v>0</v>
      </c>
    </row>
    <row r="15" spans="1:3" x14ac:dyDescent="0.25">
      <c r="A15" s="38" t="s">
        <v>54</v>
      </c>
      <c r="B15" s="38" t="s">
        <v>133</v>
      </c>
      <c r="C15" s="39">
        <v>0</v>
      </c>
    </row>
    <row r="16" spans="1:3" x14ac:dyDescent="0.25">
      <c r="A16" s="38" t="s">
        <v>52</v>
      </c>
      <c r="B16" s="38" t="s">
        <v>131</v>
      </c>
      <c r="C16" s="39">
        <v>115.26</v>
      </c>
    </row>
    <row r="17" spans="1:3" x14ac:dyDescent="0.25">
      <c r="A17" s="38">
        <v>10</v>
      </c>
      <c r="B17" s="38" t="s">
        <v>118</v>
      </c>
      <c r="C17" s="39">
        <v>89.36</v>
      </c>
    </row>
    <row r="18" spans="1:3" x14ac:dyDescent="0.25">
      <c r="A18" s="38" t="s">
        <v>57</v>
      </c>
      <c r="B18" s="38" t="s">
        <v>137</v>
      </c>
      <c r="C18" s="39">
        <v>0</v>
      </c>
    </row>
    <row r="19" spans="1:3" x14ac:dyDescent="0.25">
      <c r="A19" s="38" t="s">
        <v>134</v>
      </c>
      <c r="B19" s="38" t="s">
        <v>135</v>
      </c>
      <c r="C19" s="39">
        <v>0</v>
      </c>
    </row>
    <row r="20" spans="1:3" x14ac:dyDescent="0.25">
      <c r="A20" s="38" t="s">
        <v>56</v>
      </c>
      <c r="B20" s="38" t="s">
        <v>136</v>
      </c>
      <c r="C20" s="39">
        <v>0</v>
      </c>
    </row>
    <row r="21" spans="1:3" x14ac:dyDescent="0.25">
      <c r="A21" s="38" t="s">
        <v>39</v>
      </c>
      <c r="B21" s="38" t="s">
        <v>120</v>
      </c>
      <c r="C21" s="39">
        <v>0</v>
      </c>
    </row>
    <row r="22" spans="1:3" x14ac:dyDescent="0.25">
      <c r="A22" s="38" t="s">
        <v>59</v>
      </c>
      <c r="B22" s="38" t="s">
        <v>138</v>
      </c>
      <c r="C22" s="39">
        <v>0</v>
      </c>
    </row>
    <row r="23" spans="1:3" x14ac:dyDescent="0.25">
      <c r="A23" s="38" t="s">
        <v>60</v>
      </c>
      <c r="B23" s="38" t="s">
        <v>139</v>
      </c>
      <c r="C23" s="39">
        <v>0</v>
      </c>
    </row>
    <row r="24" spans="1:3" x14ac:dyDescent="0.25">
      <c r="A24" s="38" t="s">
        <v>61</v>
      </c>
      <c r="B24" s="38" t="s">
        <v>140</v>
      </c>
      <c r="C24" s="39">
        <v>0</v>
      </c>
    </row>
    <row r="25" spans="1:3" x14ac:dyDescent="0.25">
      <c r="A25" s="38" t="s">
        <v>63</v>
      </c>
      <c r="B25" s="38" t="s">
        <v>141</v>
      </c>
      <c r="C25" s="39">
        <v>0</v>
      </c>
    </row>
    <row r="26" spans="1:3" x14ac:dyDescent="0.25">
      <c r="A26" s="38" t="s">
        <v>142</v>
      </c>
      <c r="B26" s="38" t="s">
        <v>143</v>
      </c>
      <c r="C26" s="39">
        <v>0</v>
      </c>
    </row>
    <row r="27" spans="1:3" x14ac:dyDescent="0.25">
      <c r="A27" s="38" t="s">
        <v>95</v>
      </c>
      <c r="B27" s="38" t="s">
        <v>144</v>
      </c>
      <c r="C27" s="39">
        <v>786.47</v>
      </c>
    </row>
    <row r="28" spans="1:3" x14ac:dyDescent="0.25">
      <c r="A28" s="38" t="s">
        <v>40</v>
      </c>
      <c r="B28" s="38" t="s">
        <v>121</v>
      </c>
      <c r="C28" s="39">
        <v>134.6</v>
      </c>
    </row>
    <row r="29" spans="1:3" x14ac:dyDescent="0.25">
      <c r="A29" s="38" t="s">
        <v>64</v>
      </c>
      <c r="B29" s="38" t="s">
        <v>145</v>
      </c>
      <c r="C29" s="39">
        <v>898.42</v>
      </c>
    </row>
    <row r="30" spans="1:3" x14ac:dyDescent="0.25">
      <c r="A30" s="38" t="s">
        <v>65</v>
      </c>
      <c r="B30" s="38" t="s">
        <v>146</v>
      </c>
      <c r="C30" s="39">
        <v>0</v>
      </c>
    </row>
  </sheetData>
  <sortState ref="A3:C67">
    <sortCondition ref="B3:B6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A2" sqref="A2"/>
    </sheetView>
  </sheetViews>
  <sheetFormatPr baseColWidth="10" defaultRowHeight="15" x14ac:dyDescent="0.25"/>
  <cols>
    <col min="2" max="2" width="34.28515625" bestFit="1" customWidth="1"/>
  </cols>
  <sheetData>
    <row r="1" spans="1:5" s="115" customFormat="1" x14ac:dyDescent="0.25">
      <c r="A1" s="115" t="s">
        <v>301</v>
      </c>
    </row>
    <row r="2" spans="1:5" ht="15.75" thickBot="1" x14ac:dyDescent="0.3">
      <c r="A2" s="118" t="s">
        <v>6</v>
      </c>
      <c r="B2" s="119" t="s">
        <v>7</v>
      </c>
    </row>
    <row r="3" spans="1:5" ht="15.75" thickTop="1" x14ac:dyDescent="0.25">
      <c r="A3" s="195" t="s">
        <v>228</v>
      </c>
      <c r="B3" s="1" t="s">
        <v>76</v>
      </c>
      <c r="D3" s="195" t="s">
        <v>228</v>
      </c>
      <c r="E3" s="1" t="s">
        <v>76</v>
      </c>
    </row>
    <row r="4" spans="1:5" x14ac:dyDescent="0.25">
      <c r="A4" s="195" t="s">
        <v>228</v>
      </c>
      <c r="B4" s="1" t="s">
        <v>217</v>
      </c>
      <c r="D4" s="195" t="s">
        <v>300</v>
      </c>
      <c r="E4" s="1" t="s">
        <v>217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15" customWidth="1"/>
    <col min="2" max="2" width="17.7109375" customWidth="1"/>
  </cols>
  <sheetData>
    <row r="1" spans="1:3" x14ac:dyDescent="0.25">
      <c r="A1" s="279" t="s">
        <v>311</v>
      </c>
      <c r="B1" s="279"/>
      <c r="C1" s="280"/>
    </row>
    <row r="2" spans="1:3" x14ac:dyDescent="0.25">
      <c r="A2" s="279" t="s">
        <v>312</v>
      </c>
      <c r="B2" s="279"/>
      <c r="C2" s="280"/>
    </row>
    <row r="3" spans="1:3" x14ac:dyDescent="0.25">
      <c r="A3" s="279" t="s">
        <v>313</v>
      </c>
      <c r="B3" s="281" t="s">
        <v>323</v>
      </c>
      <c r="C3" s="280"/>
    </row>
    <row r="4" spans="1:3" x14ac:dyDescent="0.25">
      <c r="A4" s="279" t="s">
        <v>324</v>
      </c>
      <c r="B4" s="281"/>
      <c r="C4" s="280"/>
    </row>
    <row r="5" spans="1:3" x14ac:dyDescent="0.25">
      <c r="A5" s="280"/>
      <c r="B5" s="280"/>
      <c r="C5" s="280"/>
    </row>
    <row r="6" spans="1:3" x14ac:dyDescent="0.25">
      <c r="A6" s="280" t="s">
        <v>314</v>
      </c>
      <c r="B6" s="280" t="s">
        <v>315</v>
      </c>
      <c r="C6" s="280"/>
    </row>
    <row r="7" spans="1:3" x14ac:dyDescent="0.25">
      <c r="A7" s="282" t="s">
        <v>316</v>
      </c>
      <c r="B7" s="283">
        <v>79553.399999999994</v>
      </c>
      <c r="C7" s="282"/>
    </row>
    <row r="8" spans="1:3" x14ac:dyDescent="0.25">
      <c r="A8" s="282" t="s">
        <v>317</v>
      </c>
      <c r="B8" s="284">
        <v>24594.31</v>
      </c>
      <c r="C8" s="282"/>
    </row>
    <row r="9" spans="1:3" x14ac:dyDescent="0.25">
      <c r="A9" s="282" t="s">
        <v>318</v>
      </c>
      <c r="B9" s="283"/>
      <c r="C9" s="282"/>
    </row>
    <row r="10" spans="1:3" x14ac:dyDescent="0.25">
      <c r="A10" s="282" t="s">
        <v>319</v>
      </c>
      <c r="B10" s="283">
        <v>1885.56</v>
      </c>
      <c r="C10" s="282"/>
    </row>
    <row r="11" spans="1:3" x14ac:dyDescent="0.25">
      <c r="A11" s="282" t="s">
        <v>320</v>
      </c>
      <c r="B11" s="283"/>
      <c r="C11" s="282"/>
    </row>
    <row r="12" spans="1:3" x14ac:dyDescent="0.25">
      <c r="A12" s="282" t="s">
        <v>321</v>
      </c>
      <c r="B12" s="283">
        <v>8478.1</v>
      </c>
      <c r="C12" s="282"/>
    </row>
    <row r="13" spans="1:3" ht="15.75" thickBot="1" x14ac:dyDescent="0.3">
      <c r="A13" s="282" t="s">
        <v>322</v>
      </c>
      <c r="B13" s="285"/>
      <c r="C13" s="282"/>
    </row>
    <row r="14" spans="1:3" x14ac:dyDescent="0.25">
      <c r="A14" s="282"/>
      <c r="B14" s="286">
        <f>SUM(B7:B13)</f>
        <v>114511.37</v>
      </c>
      <c r="C14" s="282"/>
    </row>
    <row r="15" spans="1:3" ht="15.75" thickBot="1" x14ac:dyDescent="0.3">
      <c r="A15" s="282"/>
      <c r="B15" s="287">
        <f>B14*0.16</f>
        <v>18321.819199999998</v>
      </c>
      <c r="C15" s="282"/>
    </row>
    <row r="16" spans="1:3" ht="15.75" thickTop="1" x14ac:dyDescent="0.25">
      <c r="A16" s="282"/>
      <c r="B16" s="288">
        <f>+B14+B15</f>
        <v>132833.18919999999</v>
      </c>
      <c r="C16" s="2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INCIDENCIAS</vt:lpstr>
      <vt:lpstr>FACTURACIÓN</vt:lpstr>
      <vt:lpstr>C&amp;A</vt:lpstr>
      <vt:lpstr>SINDICATO</vt:lpstr>
      <vt:lpstr>SIND BANCO</vt:lpstr>
      <vt:lpstr>Hoja3</vt:lpstr>
      <vt:lpstr>Hoja1</vt:lpstr>
      <vt:lpstr>INFONAVIT</vt:lpstr>
      <vt:lpstr>Hoja2</vt:lpstr>
      <vt:lpstr>resumen</vt:lpstr>
      <vt:lpstr>FACTURACIÓN!Área_de_impresión</vt:lpstr>
      <vt:lpstr>'SIND BANCO'!Área_de_impresión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2016-02-29T23:06:22Z</cp:lastPrinted>
  <dcterms:created xsi:type="dcterms:W3CDTF">2016-01-16T18:25:25Z</dcterms:created>
  <dcterms:modified xsi:type="dcterms:W3CDTF">2016-05-03T19:13:55Z</dcterms:modified>
</cp:coreProperties>
</file>