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\Grupo LMJS\CELAYA\Conciliacion de cuentas contables Celaya\NOMINA\2016\CONSULTORES\SEMANAL\"/>
    </mc:Choice>
  </mc:AlternateContent>
  <bookViews>
    <workbookView xWindow="0" yWindow="0" windowWidth="28800" windowHeight="11445" activeTab="7"/>
  </bookViews>
  <sheets>
    <sheet name="INCIDENCIAS" sheetId="8" r:id="rId1"/>
    <sheet name="FACTURACIÓN" sheetId="1" r:id="rId2"/>
    <sheet name="C&amp;A" sheetId="4" r:id="rId3"/>
    <sheet name="SINDICATO" sheetId="2" r:id="rId4"/>
    <sheet name="Hoja3" sheetId="3" r:id="rId5"/>
    <sheet name="Hoja1" sheetId="5" r:id="rId6"/>
    <sheet name="INFONAVIT" sheetId="7" r:id="rId7"/>
    <sheet name="DESGLOSE" sheetId="9" r:id="rId8"/>
  </sheets>
  <definedNames>
    <definedName name="_xlnm._FilterDatabase" localSheetId="1" hidden="1">FACTURACIÓN!$A$8:$CN$45</definedName>
    <definedName name="_xlnm.Print_Area" localSheetId="1">FACTURACIÓN!$A$1:$AF$41</definedName>
  </definedNames>
  <calcPr calcId="152511"/>
</workbook>
</file>

<file path=xl/calcChain.xml><?xml version="1.0" encoding="utf-8"?>
<calcChain xmlns="http://schemas.openxmlformats.org/spreadsheetml/2006/main">
  <c r="B14" i="9" l="1"/>
  <c r="B15" i="9" l="1"/>
  <c r="B16" i="9" s="1"/>
  <c r="M23" i="1" l="1"/>
  <c r="M27" i="1"/>
  <c r="M31" i="1"/>
  <c r="M37" i="1"/>
  <c r="H37" i="1"/>
  <c r="H38" i="2" s="1"/>
  <c r="AA101" i="8"/>
  <c r="AB101" i="8" s="1"/>
  <c r="AA100" i="8"/>
  <c r="AB97" i="8"/>
  <c r="AA97" i="8"/>
  <c r="AC91" i="8"/>
  <c r="AC90" i="8"/>
  <c r="AC89" i="8"/>
  <c r="AC88" i="8"/>
  <c r="AC87" i="8"/>
  <c r="AC86" i="8"/>
  <c r="AC85" i="8"/>
  <c r="AC84" i="8"/>
  <c r="AC83" i="8"/>
  <c r="AC82" i="8"/>
  <c r="AC81" i="8"/>
  <c r="AC80" i="8"/>
  <c r="AC78" i="8"/>
  <c r="AC77" i="8"/>
  <c r="AC76" i="8"/>
  <c r="AC75" i="8"/>
  <c r="AC74" i="8"/>
  <c r="AC73" i="8"/>
  <c r="AC72" i="8"/>
  <c r="AC71" i="8"/>
  <c r="AC70" i="8"/>
  <c r="AC68" i="8"/>
  <c r="AC67" i="8"/>
  <c r="AC66" i="8"/>
  <c r="AC65" i="8"/>
  <c r="AC64" i="8"/>
  <c r="AC63" i="8"/>
  <c r="AC62" i="8"/>
  <c r="AC61" i="8"/>
  <c r="AC60" i="8"/>
  <c r="AC59" i="8"/>
  <c r="AC58" i="8"/>
  <c r="AC57" i="8"/>
  <c r="AC56" i="8"/>
  <c r="AC55" i="8"/>
  <c r="AC54" i="8"/>
  <c r="AC53" i="8"/>
  <c r="AC52" i="8"/>
  <c r="AC51" i="8"/>
  <c r="AC49" i="8"/>
  <c r="AC48" i="8"/>
  <c r="AC47" i="8"/>
  <c r="T46" i="8"/>
  <c r="N46" i="8"/>
  <c r="AC45" i="8"/>
  <c r="N45" i="8"/>
  <c r="T45" i="8" s="1"/>
  <c r="AC44" i="8"/>
  <c r="AC43" i="8"/>
  <c r="AC42" i="8"/>
  <c r="R42" i="8"/>
  <c r="Q42" i="8"/>
  <c r="P42" i="8"/>
  <c r="O42" i="8"/>
  <c r="M42" i="8"/>
  <c r="L42" i="8"/>
  <c r="K42" i="8"/>
  <c r="AC41" i="8"/>
  <c r="AC40" i="8"/>
  <c r="AC39" i="8"/>
  <c r="AC38" i="8"/>
  <c r="G37" i="8"/>
  <c r="X37" i="8" s="1"/>
  <c r="X36" i="8"/>
  <c r="N36" i="8"/>
  <c r="I36" i="8"/>
  <c r="X35" i="8"/>
  <c r="I35" i="8"/>
  <c r="N35" i="8" s="1"/>
  <c r="X34" i="8"/>
  <c r="I34" i="8"/>
  <c r="N34" i="8" s="1"/>
  <c r="X33" i="8"/>
  <c r="J33" i="8"/>
  <c r="I33" i="8"/>
  <c r="X32" i="8"/>
  <c r="I32" i="8"/>
  <c r="N32" i="8" s="1"/>
  <c r="X31" i="8"/>
  <c r="I31" i="8"/>
  <c r="N31" i="8" s="1"/>
  <c r="X30" i="8"/>
  <c r="I30" i="8"/>
  <c r="N30" i="8" s="1"/>
  <c r="X29" i="8"/>
  <c r="N29" i="8"/>
  <c r="I29" i="8"/>
  <c r="X28" i="8"/>
  <c r="I28" i="8"/>
  <c r="N28" i="8" s="1"/>
  <c r="X27" i="8"/>
  <c r="I27" i="8"/>
  <c r="N27" i="8" s="1"/>
  <c r="X26" i="8"/>
  <c r="I26" i="8"/>
  <c r="N26" i="8" s="1"/>
  <c r="X25" i="8"/>
  <c r="J25" i="8"/>
  <c r="I25" i="8"/>
  <c r="X24" i="8"/>
  <c r="I24" i="8"/>
  <c r="N24" i="8" s="1"/>
  <c r="X23" i="8"/>
  <c r="I23" i="8"/>
  <c r="N23" i="8" s="1"/>
  <c r="T23" i="8" s="1"/>
  <c r="X22" i="8"/>
  <c r="I22" i="8"/>
  <c r="N22" i="8" s="1"/>
  <c r="X21" i="8"/>
  <c r="N21" i="8"/>
  <c r="T21" i="8" s="1"/>
  <c r="I21" i="8"/>
  <c r="X20" i="8"/>
  <c r="I20" i="8"/>
  <c r="N20" i="8" s="1"/>
  <c r="X19" i="8"/>
  <c r="I19" i="8"/>
  <c r="N19" i="8" s="1"/>
  <c r="T19" i="8" s="1"/>
  <c r="X18" i="8"/>
  <c r="I18" i="8"/>
  <c r="N18" i="8" s="1"/>
  <c r="X17" i="8"/>
  <c r="I17" i="8"/>
  <c r="N17" i="8" s="1"/>
  <c r="X16" i="8"/>
  <c r="I16" i="8"/>
  <c r="N16" i="8" s="1"/>
  <c r="X15" i="8"/>
  <c r="I15" i="8"/>
  <c r="N15" i="8" s="1"/>
  <c r="X14" i="8"/>
  <c r="J14" i="8"/>
  <c r="I14" i="8"/>
  <c r="X13" i="8"/>
  <c r="I13" i="8"/>
  <c r="N13" i="8" s="1"/>
  <c r="X12" i="8"/>
  <c r="I12" i="8"/>
  <c r="N12" i="8" s="1"/>
  <c r="X11" i="8"/>
  <c r="I11" i="8"/>
  <c r="N11" i="8" s="1"/>
  <c r="X10" i="8"/>
  <c r="I10" i="8"/>
  <c r="N10" i="8" s="1"/>
  <c r="X9" i="8"/>
  <c r="I9" i="8"/>
  <c r="N9" i="8" s="1"/>
  <c r="X8" i="8"/>
  <c r="I8" i="8"/>
  <c r="N8" i="8" s="1"/>
  <c r="X7" i="8"/>
  <c r="I7" i="8"/>
  <c r="D42" i="2"/>
  <c r="J42" i="2"/>
  <c r="D25" i="1"/>
  <c r="E11" i="1"/>
  <c r="E26" i="2"/>
  <c r="E27" i="2"/>
  <c r="D36" i="1"/>
  <c r="E19" i="2"/>
  <c r="I11" i="4"/>
  <c r="I13" i="4"/>
  <c r="I14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9" i="4"/>
  <c r="I40" i="4"/>
  <c r="E11" i="4"/>
  <c r="M10" i="1" s="1"/>
  <c r="E12" i="4"/>
  <c r="M11" i="1" s="1"/>
  <c r="E13" i="4"/>
  <c r="M12" i="1" s="1"/>
  <c r="E14" i="4"/>
  <c r="M13" i="1" s="1"/>
  <c r="E15" i="4"/>
  <c r="M14" i="1" s="1"/>
  <c r="E16" i="4"/>
  <c r="J16" i="4" s="1"/>
  <c r="E17" i="4"/>
  <c r="M16" i="1" s="1"/>
  <c r="E18" i="4"/>
  <c r="M17" i="1" s="1"/>
  <c r="E19" i="4"/>
  <c r="M18" i="1" s="1"/>
  <c r="E20" i="4"/>
  <c r="M19" i="1" s="1"/>
  <c r="E21" i="4"/>
  <c r="M20" i="1" s="1"/>
  <c r="E22" i="4"/>
  <c r="M21" i="1" s="1"/>
  <c r="E23" i="4"/>
  <c r="M22" i="1" s="1"/>
  <c r="E24" i="4"/>
  <c r="J24" i="4" s="1"/>
  <c r="E25" i="4"/>
  <c r="E26" i="4"/>
  <c r="J26" i="4" s="1"/>
  <c r="E27" i="4"/>
  <c r="M26" i="1" s="1"/>
  <c r="E28" i="4"/>
  <c r="J28" i="4" s="1"/>
  <c r="E29" i="4"/>
  <c r="E30" i="4"/>
  <c r="J30" i="4" s="1"/>
  <c r="E31" i="4"/>
  <c r="M30" i="1" s="1"/>
  <c r="E32" i="4"/>
  <c r="J32" i="4" s="1"/>
  <c r="E33" i="4"/>
  <c r="E34" i="4"/>
  <c r="J34" i="4" s="1"/>
  <c r="E35" i="4"/>
  <c r="E36" i="4"/>
  <c r="J36" i="4" s="1"/>
  <c r="E37" i="4"/>
  <c r="J38" i="4"/>
  <c r="E39" i="4"/>
  <c r="J39" i="4" s="1"/>
  <c r="E40" i="4"/>
  <c r="E10" i="4"/>
  <c r="M9" i="1" s="1"/>
  <c r="CF44" i="1"/>
  <c r="CG44" i="1"/>
  <c r="CH44" i="1"/>
  <c r="CJ44" i="1"/>
  <c r="BN44" i="1"/>
  <c r="BQ44" i="1"/>
  <c r="BR44" i="1"/>
  <c r="BS44" i="1"/>
  <c r="BU44" i="1"/>
  <c r="BV44" i="1"/>
  <c r="BW44" i="1"/>
  <c r="BX44" i="1"/>
  <c r="H10" i="1"/>
  <c r="H11" i="2" s="1"/>
  <c r="H11" i="1"/>
  <c r="G12" i="4" s="1"/>
  <c r="I12" i="4" s="1"/>
  <c r="H12" i="1"/>
  <c r="H13" i="2" s="1"/>
  <c r="H13" i="1"/>
  <c r="H14" i="2" s="1"/>
  <c r="H15" i="1"/>
  <c r="H16" i="2" s="1"/>
  <c r="H16" i="1"/>
  <c r="H17" i="2" s="1"/>
  <c r="H17" i="1"/>
  <c r="H18" i="2" s="1"/>
  <c r="H18" i="1"/>
  <c r="H19" i="2" s="1"/>
  <c r="H19" i="1"/>
  <c r="H20" i="2" s="1"/>
  <c r="H20" i="1"/>
  <c r="H21" i="2" s="1"/>
  <c r="H21" i="1"/>
  <c r="H22" i="2" s="1"/>
  <c r="H22" i="1"/>
  <c r="H23" i="2" s="1"/>
  <c r="H23" i="1"/>
  <c r="H24" i="2" s="1"/>
  <c r="H24" i="1"/>
  <c r="H25" i="2" s="1"/>
  <c r="H25" i="1"/>
  <c r="H26" i="2" s="1"/>
  <c r="H26" i="1"/>
  <c r="H27" i="1"/>
  <c r="H28" i="2" s="1"/>
  <c r="H28" i="1"/>
  <c r="H29" i="2" s="1"/>
  <c r="H29" i="1"/>
  <c r="H30" i="2" s="1"/>
  <c r="H30" i="1"/>
  <c r="H31" i="2" s="1"/>
  <c r="H31" i="1"/>
  <c r="H32" i="2" s="1"/>
  <c r="H32" i="1"/>
  <c r="H33" i="2" s="1"/>
  <c r="H33" i="1"/>
  <c r="H34" i="2" s="1"/>
  <c r="H34" i="1"/>
  <c r="H35" i="2" s="1"/>
  <c r="H35" i="1"/>
  <c r="H36" i="2" s="1"/>
  <c r="H36" i="1"/>
  <c r="H38" i="1"/>
  <c r="H39" i="2" s="1"/>
  <c r="H39" i="1"/>
  <c r="H40" i="2" s="1"/>
  <c r="H9" i="1"/>
  <c r="H10" i="2" s="1"/>
  <c r="G10" i="1"/>
  <c r="G11" i="2" s="1"/>
  <c r="G11" i="1"/>
  <c r="G12" i="2" s="1"/>
  <c r="G12" i="1"/>
  <c r="G13" i="2" s="1"/>
  <c r="G13" i="1"/>
  <c r="G14" i="2" s="1"/>
  <c r="G14" i="1"/>
  <c r="G15" i="2" s="1"/>
  <c r="G15" i="1"/>
  <c r="G16" i="2" s="1"/>
  <c r="G16" i="1"/>
  <c r="G17" i="2" s="1"/>
  <c r="G17" i="1"/>
  <c r="G18" i="2" s="1"/>
  <c r="G18" i="1"/>
  <c r="G19" i="2" s="1"/>
  <c r="G19" i="1"/>
  <c r="G20" i="2" s="1"/>
  <c r="G20" i="1"/>
  <c r="G21" i="2" s="1"/>
  <c r="G21" i="1"/>
  <c r="G22" i="2" s="1"/>
  <c r="G22" i="1"/>
  <c r="G23" i="2" s="1"/>
  <c r="G23" i="1"/>
  <c r="G24" i="2" s="1"/>
  <c r="G24" i="1"/>
  <c r="G25" i="2" s="1"/>
  <c r="G25" i="1"/>
  <c r="G26" i="2" s="1"/>
  <c r="G26" i="1"/>
  <c r="G27" i="2" s="1"/>
  <c r="G27" i="1"/>
  <c r="G28" i="2" s="1"/>
  <c r="G28" i="1"/>
  <c r="G29" i="2" s="1"/>
  <c r="G29" i="1"/>
  <c r="G30" i="2" s="1"/>
  <c r="G30" i="1"/>
  <c r="G31" i="2" s="1"/>
  <c r="G31" i="1"/>
  <c r="G32" i="2" s="1"/>
  <c r="G32" i="1"/>
  <c r="G33" i="2" s="1"/>
  <c r="G33" i="1"/>
  <c r="G34" i="2" s="1"/>
  <c r="G34" i="1"/>
  <c r="G35" i="2" s="1"/>
  <c r="G35" i="1"/>
  <c r="G36" i="2" s="1"/>
  <c r="G36" i="1"/>
  <c r="G37" i="2" s="1"/>
  <c r="G37" i="1"/>
  <c r="G38" i="2" s="1"/>
  <c r="G38" i="1"/>
  <c r="G39" i="2" s="1"/>
  <c r="G39" i="1"/>
  <c r="G40" i="2" s="1"/>
  <c r="G9" i="1"/>
  <c r="G10" i="2" s="1"/>
  <c r="F10" i="1"/>
  <c r="F11" i="2" s="1"/>
  <c r="F11" i="1"/>
  <c r="F12" i="2" s="1"/>
  <c r="F12" i="1"/>
  <c r="F13" i="2" s="1"/>
  <c r="F13" i="1"/>
  <c r="F14" i="2" s="1"/>
  <c r="F14" i="1"/>
  <c r="F15" i="2" s="1"/>
  <c r="F15" i="1"/>
  <c r="F16" i="2" s="1"/>
  <c r="F16" i="1"/>
  <c r="F17" i="2" s="1"/>
  <c r="F17" i="1"/>
  <c r="F18" i="2" s="1"/>
  <c r="F18" i="1"/>
  <c r="F19" i="2" s="1"/>
  <c r="F19" i="1"/>
  <c r="F20" i="2" s="1"/>
  <c r="F20" i="1"/>
  <c r="F21" i="2" s="1"/>
  <c r="F21" i="1"/>
  <c r="F22" i="2" s="1"/>
  <c r="F22" i="1"/>
  <c r="F23" i="2" s="1"/>
  <c r="F23" i="1"/>
  <c r="F24" i="2" s="1"/>
  <c r="F24" i="1"/>
  <c r="F25" i="2" s="1"/>
  <c r="F25" i="1"/>
  <c r="F26" i="2" s="1"/>
  <c r="F26" i="1"/>
  <c r="F27" i="2" s="1"/>
  <c r="F27" i="1"/>
  <c r="F28" i="2" s="1"/>
  <c r="F28" i="1"/>
  <c r="F29" i="2" s="1"/>
  <c r="F29" i="1"/>
  <c r="F30" i="2" s="1"/>
  <c r="F30" i="1"/>
  <c r="F31" i="2" s="1"/>
  <c r="F31" i="1"/>
  <c r="F32" i="2" s="1"/>
  <c r="F32" i="1"/>
  <c r="F33" i="2" s="1"/>
  <c r="F33" i="1"/>
  <c r="F34" i="2" s="1"/>
  <c r="F34" i="1"/>
  <c r="F35" i="2" s="1"/>
  <c r="F35" i="1"/>
  <c r="F36" i="2" s="1"/>
  <c r="F36" i="1"/>
  <c r="F37" i="2" s="1"/>
  <c r="F37" i="1"/>
  <c r="F38" i="2" s="1"/>
  <c r="F38" i="1"/>
  <c r="F39" i="2" s="1"/>
  <c r="F39" i="1"/>
  <c r="F40" i="2" s="1"/>
  <c r="F9" i="1"/>
  <c r="F10" i="2" s="1"/>
  <c r="E10" i="1"/>
  <c r="E12" i="1"/>
  <c r="E13" i="1"/>
  <c r="E14" i="1"/>
  <c r="E15" i="1"/>
  <c r="E17" i="1"/>
  <c r="E18" i="1"/>
  <c r="E19" i="1"/>
  <c r="E20" i="1"/>
  <c r="E21" i="1"/>
  <c r="E22" i="1"/>
  <c r="E23" i="1"/>
  <c r="E24" i="1"/>
  <c r="E25" i="1"/>
  <c r="E26" i="1"/>
  <c r="E27" i="1"/>
  <c r="E29" i="1"/>
  <c r="E30" i="1"/>
  <c r="E31" i="1"/>
  <c r="E32" i="1"/>
  <c r="E33" i="1"/>
  <c r="E34" i="1"/>
  <c r="E36" i="1"/>
  <c r="E37" i="1"/>
  <c r="E38" i="1"/>
  <c r="E39" i="1"/>
  <c r="E9" i="1"/>
  <c r="CE103" i="1"/>
  <c r="CF103" i="1" s="1"/>
  <c r="CE102" i="1"/>
  <c r="CF102" i="1" s="1"/>
  <c r="CF99" i="1"/>
  <c r="CG93" i="1"/>
  <c r="CG92" i="1"/>
  <c r="CG91" i="1"/>
  <c r="CG90" i="1"/>
  <c r="CG89" i="1"/>
  <c r="CG88" i="1"/>
  <c r="CG87" i="1"/>
  <c r="CG86" i="1"/>
  <c r="CG85" i="1"/>
  <c r="CG84" i="1"/>
  <c r="CG83" i="1"/>
  <c r="CG82" i="1"/>
  <c r="CG80" i="1"/>
  <c r="CG79" i="1"/>
  <c r="CG78" i="1"/>
  <c r="CG77" i="1"/>
  <c r="CG76" i="1"/>
  <c r="CG75" i="1"/>
  <c r="CG74" i="1"/>
  <c r="CG73" i="1"/>
  <c r="CG72" i="1"/>
  <c r="CG70" i="1"/>
  <c r="CG69" i="1"/>
  <c r="CG68" i="1"/>
  <c r="CG67" i="1"/>
  <c r="CG66" i="1"/>
  <c r="CG65" i="1"/>
  <c r="CG64" i="1"/>
  <c r="CG63" i="1"/>
  <c r="CG62" i="1"/>
  <c r="CG61" i="1"/>
  <c r="CG60" i="1"/>
  <c r="CG59" i="1"/>
  <c r="CG58" i="1"/>
  <c r="CG57" i="1"/>
  <c r="CG56" i="1"/>
  <c r="CG55" i="1"/>
  <c r="CG54" i="1"/>
  <c r="CG53" i="1"/>
  <c r="CG51" i="1"/>
  <c r="CG50" i="1"/>
  <c r="CG49" i="1"/>
  <c r="BR48" i="1"/>
  <c r="BX48" i="1" s="1"/>
  <c r="CG47" i="1"/>
  <c r="BR47" i="1"/>
  <c r="BX47" i="1" s="1"/>
  <c r="CA47" i="1" s="1"/>
  <c r="CG46" i="1"/>
  <c r="CH45" i="1"/>
  <c r="CI43" i="1"/>
  <c r="CI42" i="1"/>
  <c r="CI41" i="1"/>
  <c r="CI40" i="1"/>
  <c r="BM39" i="1"/>
  <c r="CD39" i="1" s="1"/>
  <c r="CD38" i="1"/>
  <c r="BO38" i="1"/>
  <c r="BT38" i="1" s="1"/>
  <c r="CD37" i="1"/>
  <c r="BO37" i="1"/>
  <c r="BT37" i="1" s="1"/>
  <c r="BZ37" i="1" s="1"/>
  <c r="CD36" i="1"/>
  <c r="BO36" i="1"/>
  <c r="BT36" i="1" s="1"/>
  <c r="CD35" i="1"/>
  <c r="BP35" i="1"/>
  <c r="E35" i="1" s="1"/>
  <c r="BO35" i="1"/>
  <c r="C35" i="1" s="1"/>
  <c r="CD34" i="1"/>
  <c r="BO34" i="1"/>
  <c r="BT34" i="1" s="1"/>
  <c r="BZ34" i="1" s="1"/>
  <c r="CD33" i="1"/>
  <c r="BO33" i="1"/>
  <c r="BT33" i="1" s="1"/>
  <c r="CD32" i="1"/>
  <c r="BO32" i="1"/>
  <c r="BT32" i="1" s="1"/>
  <c r="BZ32" i="1" s="1"/>
  <c r="CD31" i="1"/>
  <c r="BO31" i="1"/>
  <c r="BT31" i="1" s="1"/>
  <c r="CD30" i="1"/>
  <c r="BO30" i="1"/>
  <c r="BT30" i="1" s="1"/>
  <c r="BZ30" i="1" s="1"/>
  <c r="CD21" i="1"/>
  <c r="BO21" i="1"/>
  <c r="BT21" i="1" s="1"/>
  <c r="CD29" i="1"/>
  <c r="BO29" i="1"/>
  <c r="BT29" i="1" s="1"/>
  <c r="BZ29" i="1" s="1"/>
  <c r="CD28" i="1"/>
  <c r="BP28" i="1"/>
  <c r="E28" i="1" s="1"/>
  <c r="BO28" i="1"/>
  <c r="C28" i="1" s="1"/>
  <c r="CD27" i="1"/>
  <c r="BO27" i="1"/>
  <c r="BT27" i="1" s="1"/>
  <c r="CD26" i="1"/>
  <c r="BO26" i="1"/>
  <c r="BT26" i="1" s="1"/>
  <c r="BZ26" i="1" s="1"/>
  <c r="CD25" i="1"/>
  <c r="BO25" i="1"/>
  <c r="BT25" i="1" s="1"/>
  <c r="CD24" i="1"/>
  <c r="BO24" i="1"/>
  <c r="BT24" i="1" s="1"/>
  <c r="BZ24" i="1" s="1"/>
  <c r="CD23" i="1"/>
  <c r="BO23" i="1"/>
  <c r="BT23" i="1" s="1"/>
  <c r="CD22" i="1"/>
  <c r="BO22" i="1"/>
  <c r="BT22" i="1" s="1"/>
  <c r="BZ22" i="1" s="1"/>
  <c r="CD20" i="1"/>
  <c r="BO20" i="1"/>
  <c r="BT20" i="1" s="1"/>
  <c r="CD19" i="1"/>
  <c r="BO19" i="1"/>
  <c r="BT19" i="1" s="1"/>
  <c r="BZ19" i="1" s="1"/>
  <c r="CD18" i="1"/>
  <c r="BO18" i="1"/>
  <c r="BT18" i="1" s="1"/>
  <c r="CD17" i="1"/>
  <c r="BO17" i="1"/>
  <c r="BT17" i="1" s="1"/>
  <c r="BZ17" i="1" s="1"/>
  <c r="CD16" i="1"/>
  <c r="BP16" i="1"/>
  <c r="E16" i="1" s="1"/>
  <c r="BO16" i="1"/>
  <c r="C16" i="1" s="1"/>
  <c r="CD15" i="1"/>
  <c r="BO15" i="1"/>
  <c r="BT15" i="1" s="1"/>
  <c r="CD14" i="1"/>
  <c r="BO14" i="1"/>
  <c r="BT14" i="1" s="1"/>
  <c r="CD13" i="1"/>
  <c r="BO13" i="1"/>
  <c r="BT13" i="1" s="1"/>
  <c r="BZ13" i="1" s="1"/>
  <c r="CD12" i="1"/>
  <c r="BO12" i="1"/>
  <c r="BT12" i="1" s="1"/>
  <c r="CD11" i="1"/>
  <c r="BO11" i="1"/>
  <c r="BT11" i="1" s="1"/>
  <c r="BZ11" i="1" s="1"/>
  <c r="CD10" i="1"/>
  <c r="BO10" i="1"/>
  <c r="BT10" i="1" s="1"/>
  <c r="CD9" i="1"/>
  <c r="BO9" i="1"/>
  <c r="B4" i="2"/>
  <c r="B4" i="4"/>
  <c r="D18" i="1"/>
  <c r="N43" i="1"/>
  <c r="C42" i="4"/>
  <c r="H42" i="4"/>
  <c r="D39" i="1"/>
  <c r="D42" i="4"/>
  <c r="F42" i="4"/>
  <c r="AF40" i="1"/>
  <c r="AG40" i="1"/>
  <c r="AH40" i="1"/>
  <c r="AI40" i="1"/>
  <c r="AJ40" i="1"/>
  <c r="M25" i="1" l="1"/>
  <c r="G42" i="2"/>
  <c r="J37" i="4"/>
  <c r="E37" i="2" s="1"/>
  <c r="J33" i="4"/>
  <c r="J29" i="4"/>
  <c r="J25" i="4"/>
  <c r="I42" i="8"/>
  <c r="N25" i="8"/>
  <c r="N33" i="8"/>
  <c r="M36" i="1"/>
  <c r="M32" i="1"/>
  <c r="J40" i="4"/>
  <c r="X42" i="8"/>
  <c r="M39" i="1"/>
  <c r="M35" i="1"/>
  <c r="M28" i="1"/>
  <c r="M24" i="1"/>
  <c r="M15" i="1"/>
  <c r="AC101" i="8"/>
  <c r="M33" i="1"/>
  <c r="J35" i="4"/>
  <c r="J31" i="4"/>
  <c r="J27" i="4"/>
  <c r="J23" i="4"/>
  <c r="N14" i="8"/>
  <c r="M38" i="1"/>
  <c r="M34" i="1"/>
  <c r="M29" i="1"/>
  <c r="F42" i="2"/>
  <c r="H42" i="2"/>
  <c r="T15" i="8"/>
  <c r="Y15" i="8"/>
  <c r="W15" i="8"/>
  <c r="U15" i="8"/>
  <c r="W16" i="8"/>
  <c r="Y16" i="8" s="1"/>
  <c r="U16" i="8"/>
  <c r="T16" i="8"/>
  <c r="W18" i="8"/>
  <c r="Y18" i="8" s="1"/>
  <c r="U18" i="8"/>
  <c r="T18" i="8"/>
  <c r="W22" i="8"/>
  <c r="Y22" i="8" s="1"/>
  <c r="U22" i="8"/>
  <c r="T22" i="8"/>
  <c r="V22" i="8" s="1"/>
  <c r="AC22" i="8" s="1"/>
  <c r="T26" i="8"/>
  <c r="W26" i="8"/>
  <c r="Y26" i="8" s="1"/>
  <c r="U26" i="8"/>
  <c r="T30" i="8"/>
  <c r="W30" i="8"/>
  <c r="Y30" i="8" s="1"/>
  <c r="U30" i="8"/>
  <c r="W8" i="8"/>
  <c r="Y8" i="8" s="1"/>
  <c r="U8" i="8"/>
  <c r="T8" i="8"/>
  <c r="V8" i="8" s="1"/>
  <c r="AC8" i="8" s="1"/>
  <c r="T9" i="8"/>
  <c r="Y9" i="8"/>
  <c r="W9" i="8"/>
  <c r="U9" i="8"/>
  <c r="W10" i="8"/>
  <c r="Y10" i="8" s="1"/>
  <c r="U10" i="8"/>
  <c r="T10" i="8"/>
  <c r="T11" i="8"/>
  <c r="Y11" i="8"/>
  <c r="W11" i="8"/>
  <c r="U11" i="8"/>
  <c r="W12" i="8"/>
  <c r="Y12" i="8" s="1"/>
  <c r="U12" i="8"/>
  <c r="S12" i="8"/>
  <c r="S42" i="8" s="1"/>
  <c r="W13" i="8"/>
  <c r="Y13" i="8" s="1"/>
  <c r="U13" i="8"/>
  <c r="T13" i="8"/>
  <c r="W14" i="8"/>
  <c r="Y14" i="8" s="1"/>
  <c r="U14" i="8"/>
  <c r="T14" i="8"/>
  <c r="W20" i="8"/>
  <c r="Y20" i="8" s="1"/>
  <c r="U20" i="8"/>
  <c r="T20" i="8"/>
  <c r="W24" i="8"/>
  <c r="Y24" i="8" s="1"/>
  <c r="U24" i="8"/>
  <c r="T24" i="8"/>
  <c r="W25" i="8"/>
  <c r="Y25" i="8" s="1"/>
  <c r="U25" i="8"/>
  <c r="T25" i="8"/>
  <c r="T28" i="8"/>
  <c r="V28" i="8" s="1"/>
  <c r="AC28" i="8" s="1"/>
  <c r="W28" i="8"/>
  <c r="Y28" i="8" s="1"/>
  <c r="U28" i="8"/>
  <c r="T32" i="8"/>
  <c r="W32" i="8"/>
  <c r="Y32" i="8" s="1"/>
  <c r="U32" i="8"/>
  <c r="T33" i="8"/>
  <c r="W33" i="8"/>
  <c r="Y33" i="8" s="1"/>
  <c r="U33" i="8"/>
  <c r="T35" i="8"/>
  <c r="V35" i="8" s="1"/>
  <c r="AC35" i="8" s="1"/>
  <c r="W35" i="8"/>
  <c r="Y35" i="8" s="1"/>
  <c r="U35" i="8"/>
  <c r="W45" i="8"/>
  <c r="Y45" i="8" s="1"/>
  <c r="U45" i="8"/>
  <c r="V45" i="8"/>
  <c r="T17" i="8"/>
  <c r="Y17" i="8"/>
  <c r="W17" i="8"/>
  <c r="U17" i="8"/>
  <c r="N7" i="8"/>
  <c r="U19" i="8"/>
  <c r="V19" i="8" s="1"/>
  <c r="AC19" i="8" s="1"/>
  <c r="W19" i="8"/>
  <c r="Y19" i="8" s="1"/>
  <c r="U21" i="8"/>
  <c r="V21" i="8" s="1"/>
  <c r="AC21" i="8" s="1"/>
  <c r="W21" i="8"/>
  <c r="Y21" i="8"/>
  <c r="U23" i="8"/>
  <c r="V23" i="8" s="1"/>
  <c r="AC23" i="8" s="1"/>
  <c r="W23" i="8"/>
  <c r="Y23" i="8" s="1"/>
  <c r="T27" i="8"/>
  <c r="T29" i="8"/>
  <c r="T31" i="8"/>
  <c r="T34" i="8"/>
  <c r="T36" i="8"/>
  <c r="I37" i="8"/>
  <c r="N37" i="8" s="1"/>
  <c r="U46" i="8"/>
  <c r="W46" i="8"/>
  <c r="Y46" i="8" s="1"/>
  <c r="AB100" i="8"/>
  <c r="AC100" i="8" s="1"/>
  <c r="U27" i="8"/>
  <c r="W27" i="8"/>
  <c r="Y27" i="8" s="1"/>
  <c r="U29" i="8"/>
  <c r="W29" i="8"/>
  <c r="Y29" i="8" s="1"/>
  <c r="U31" i="8"/>
  <c r="W31" i="8"/>
  <c r="Y31" i="8" s="1"/>
  <c r="U34" i="8"/>
  <c r="W34" i="8"/>
  <c r="Y34" i="8" s="1"/>
  <c r="U36" i="8"/>
  <c r="W36" i="8"/>
  <c r="Y36" i="8" s="1"/>
  <c r="V46" i="8"/>
  <c r="C29" i="2"/>
  <c r="J14" i="4"/>
  <c r="C36" i="2"/>
  <c r="E36" i="2" s="1"/>
  <c r="J13" i="4"/>
  <c r="E29" i="2"/>
  <c r="J21" i="4"/>
  <c r="J19" i="4"/>
  <c r="J17" i="4"/>
  <c r="J11" i="4"/>
  <c r="C26" i="1"/>
  <c r="K26" i="1" s="1"/>
  <c r="K28" i="1"/>
  <c r="K16" i="1"/>
  <c r="J22" i="4"/>
  <c r="J20" i="4"/>
  <c r="J18" i="4"/>
  <c r="J12" i="4"/>
  <c r="K35" i="1"/>
  <c r="BD41" i="1"/>
  <c r="CD44" i="1"/>
  <c r="C34" i="1"/>
  <c r="C14" i="1"/>
  <c r="K14" i="1" s="1"/>
  <c r="C30" i="1"/>
  <c r="C10" i="1"/>
  <c r="BP44" i="1"/>
  <c r="C9" i="1"/>
  <c r="C32" i="1"/>
  <c r="C12" i="1"/>
  <c r="BM44" i="1"/>
  <c r="C38" i="1"/>
  <c r="C36" i="1"/>
  <c r="K36" i="1" s="1"/>
  <c r="C24" i="1"/>
  <c r="C22" i="1"/>
  <c r="C20" i="1"/>
  <c r="C18" i="1"/>
  <c r="K18" i="1" s="1"/>
  <c r="C37" i="1"/>
  <c r="C33" i="1"/>
  <c r="C31" i="1"/>
  <c r="C29" i="1"/>
  <c r="C27" i="1"/>
  <c r="C25" i="1"/>
  <c r="K25" i="1" s="1"/>
  <c r="C23" i="1"/>
  <c r="C21" i="1"/>
  <c r="C19" i="1"/>
  <c r="C17" i="1"/>
  <c r="C15" i="1"/>
  <c r="C13" i="1"/>
  <c r="C11" i="1"/>
  <c r="BT35" i="1"/>
  <c r="BZ35" i="1" s="1"/>
  <c r="G41" i="1"/>
  <c r="K44" i="1" s="1"/>
  <c r="BT9" i="1"/>
  <c r="BT16" i="1"/>
  <c r="CC16" i="1" s="1"/>
  <c r="BT28" i="1"/>
  <c r="CA28" i="1" s="1"/>
  <c r="I28" i="1" s="1"/>
  <c r="I29" i="2" s="1"/>
  <c r="K29" i="2" s="1"/>
  <c r="BO39" i="1"/>
  <c r="BO44" i="1" s="1"/>
  <c r="CG102" i="1"/>
  <c r="CC10" i="1"/>
  <c r="CA10" i="1"/>
  <c r="I10" i="1" s="1"/>
  <c r="I11" i="2" s="1"/>
  <c r="K11" i="2" s="1"/>
  <c r="BZ10" i="1"/>
  <c r="CC14" i="1"/>
  <c r="CA14" i="1"/>
  <c r="I14" i="1" s="1"/>
  <c r="I15" i="2" s="1"/>
  <c r="K15" i="2" s="1"/>
  <c r="BY14" i="1"/>
  <c r="BY44" i="1" s="1"/>
  <c r="CC15" i="1"/>
  <c r="CA15" i="1"/>
  <c r="I15" i="1" s="1"/>
  <c r="I16" i="2" s="1"/>
  <c r="K16" i="2" s="1"/>
  <c r="BZ15" i="1"/>
  <c r="CC18" i="1"/>
  <c r="CA18" i="1"/>
  <c r="I18" i="1" s="1"/>
  <c r="I19" i="2" s="1"/>
  <c r="K19" i="2" s="1"/>
  <c r="L19" i="2" s="1"/>
  <c r="BZ18" i="1"/>
  <c r="CC23" i="1"/>
  <c r="CA23" i="1"/>
  <c r="I23" i="1" s="1"/>
  <c r="I24" i="2" s="1"/>
  <c r="K24" i="2" s="1"/>
  <c r="BZ23" i="1"/>
  <c r="CC27" i="1"/>
  <c r="CA27" i="1"/>
  <c r="I27" i="1" s="1"/>
  <c r="I28" i="2" s="1"/>
  <c r="K28" i="2" s="1"/>
  <c r="BZ27" i="1"/>
  <c r="CC21" i="1"/>
  <c r="CA21" i="1"/>
  <c r="I21" i="1" s="1"/>
  <c r="I22" i="2" s="1"/>
  <c r="K22" i="2" s="1"/>
  <c r="BZ21" i="1"/>
  <c r="CC33" i="1"/>
  <c r="CA33" i="1"/>
  <c r="I33" i="1" s="1"/>
  <c r="I34" i="2" s="1"/>
  <c r="K34" i="2" s="1"/>
  <c r="BZ33" i="1"/>
  <c r="CC36" i="1"/>
  <c r="CA36" i="1"/>
  <c r="I36" i="1" s="1"/>
  <c r="I37" i="2" s="1"/>
  <c r="K37" i="2" s="1"/>
  <c r="L37" i="2" s="1"/>
  <c r="BZ36" i="1"/>
  <c r="CC12" i="1"/>
  <c r="CA12" i="1"/>
  <c r="I12" i="1" s="1"/>
  <c r="I13" i="2" s="1"/>
  <c r="K13" i="2" s="1"/>
  <c r="BZ12" i="1"/>
  <c r="CC20" i="1"/>
  <c r="CA20" i="1"/>
  <c r="I20" i="1" s="1"/>
  <c r="I21" i="2" s="1"/>
  <c r="K21" i="2" s="1"/>
  <c r="BZ20" i="1"/>
  <c r="CC25" i="1"/>
  <c r="CA25" i="1"/>
  <c r="I25" i="1" s="1"/>
  <c r="I26" i="2" s="1"/>
  <c r="K26" i="2" s="1"/>
  <c r="L26" i="2" s="1"/>
  <c r="BZ25" i="1"/>
  <c r="CC31" i="1"/>
  <c r="CA31" i="1"/>
  <c r="I31" i="1" s="1"/>
  <c r="I32" i="2" s="1"/>
  <c r="K32" i="2" s="1"/>
  <c r="BZ31" i="1"/>
  <c r="CC38" i="1"/>
  <c r="CA38" i="1"/>
  <c r="I38" i="1" s="1"/>
  <c r="I39" i="2" s="1"/>
  <c r="K39" i="2" s="1"/>
  <c r="BZ38" i="1"/>
  <c r="BZ48" i="1"/>
  <c r="CA48" i="1"/>
  <c r="CC48" i="1" s="1"/>
  <c r="BY48" i="1"/>
  <c r="CA11" i="1"/>
  <c r="CC11" i="1"/>
  <c r="CA13" i="1"/>
  <c r="CC13" i="1"/>
  <c r="CA17" i="1"/>
  <c r="CC17" i="1"/>
  <c r="CA19" i="1"/>
  <c r="CC19" i="1"/>
  <c r="CA22" i="1"/>
  <c r="CC22" i="1"/>
  <c r="CA24" i="1"/>
  <c r="CC24" i="1"/>
  <c r="CA26" i="1"/>
  <c r="CC26" i="1"/>
  <c r="CA29" i="1"/>
  <c r="CC29" i="1"/>
  <c r="CA30" i="1"/>
  <c r="CC30" i="1"/>
  <c r="CA32" i="1"/>
  <c r="CC32" i="1"/>
  <c r="CA34" i="1"/>
  <c r="CC34" i="1"/>
  <c r="CA37" i="1"/>
  <c r="CC37" i="1"/>
  <c r="BZ47" i="1"/>
  <c r="CC47" i="1"/>
  <c r="CG103" i="1"/>
  <c r="BY47" i="1"/>
  <c r="D41" i="1"/>
  <c r="V31" i="8" l="1"/>
  <c r="AC31" i="8" s="1"/>
  <c r="V33" i="8"/>
  <c r="AC33" i="8" s="1"/>
  <c r="V18" i="8"/>
  <c r="AC18" i="8" s="1"/>
  <c r="V36" i="8"/>
  <c r="AC36" i="8" s="1"/>
  <c r="V27" i="8"/>
  <c r="AC27" i="8" s="1"/>
  <c r="Y47" i="8"/>
  <c r="M41" i="1"/>
  <c r="V32" i="8"/>
  <c r="AC32" i="8" s="1"/>
  <c r="V10" i="8"/>
  <c r="AC10" i="8" s="1"/>
  <c r="V16" i="8"/>
  <c r="AC16" i="8" s="1"/>
  <c r="Y48" i="8"/>
  <c r="Y49" i="8" s="1"/>
  <c r="N42" i="8"/>
  <c r="T7" i="8"/>
  <c r="W7" i="8"/>
  <c r="W42" i="8" s="1"/>
  <c r="U7" i="8"/>
  <c r="W37" i="8"/>
  <c r="Y37" i="8" s="1"/>
  <c r="U37" i="8"/>
  <c r="T37" i="8"/>
  <c r="V34" i="8"/>
  <c r="AC34" i="8" s="1"/>
  <c r="V29" i="8"/>
  <c r="AC29" i="8" s="1"/>
  <c r="V17" i="8"/>
  <c r="AC17" i="8" s="1"/>
  <c r="V25" i="8"/>
  <c r="AC25" i="8" s="1"/>
  <c r="V24" i="8"/>
  <c r="AC24" i="8" s="1"/>
  <c r="V20" i="8"/>
  <c r="AC20" i="8" s="1"/>
  <c r="V14" i="8"/>
  <c r="AC14" i="8" s="1"/>
  <c r="V13" i="8"/>
  <c r="AC13" i="8" s="1"/>
  <c r="T12" i="8"/>
  <c r="V12" i="8" s="1"/>
  <c r="AC12" i="8" s="1"/>
  <c r="V11" i="8"/>
  <c r="AC11" i="8" s="1"/>
  <c r="V9" i="8"/>
  <c r="AC9" i="8" s="1"/>
  <c r="V30" i="8"/>
  <c r="AC30" i="8" s="1"/>
  <c r="V26" i="8"/>
  <c r="AC26" i="8" s="1"/>
  <c r="V15" i="8"/>
  <c r="AC15" i="8" s="1"/>
  <c r="C14" i="2"/>
  <c r="E14" i="2" s="1"/>
  <c r="K13" i="1"/>
  <c r="K17" i="1"/>
  <c r="C18" i="2"/>
  <c r="E18" i="2" s="1"/>
  <c r="C22" i="2"/>
  <c r="E22" i="2" s="1"/>
  <c r="L22" i="2" s="1"/>
  <c r="K21" i="1"/>
  <c r="C30" i="2"/>
  <c r="E30" i="2" s="1"/>
  <c r="K29" i="1"/>
  <c r="C34" i="2"/>
  <c r="E34" i="2" s="1"/>
  <c r="L34" i="2" s="1"/>
  <c r="K33" i="1"/>
  <c r="C23" i="2"/>
  <c r="E23" i="2" s="1"/>
  <c r="K22" i="1"/>
  <c r="C33" i="2"/>
  <c r="E33" i="2" s="1"/>
  <c r="K32" i="1"/>
  <c r="C31" i="2"/>
  <c r="E31" i="2" s="1"/>
  <c r="K30" i="1"/>
  <c r="C35" i="2"/>
  <c r="E35" i="2" s="1"/>
  <c r="K34" i="1"/>
  <c r="L29" i="2"/>
  <c r="C12" i="2"/>
  <c r="E12" i="2" s="1"/>
  <c r="K11" i="1"/>
  <c r="K15" i="1"/>
  <c r="C16" i="2"/>
  <c r="E16" i="2" s="1"/>
  <c r="L16" i="2" s="1"/>
  <c r="C20" i="2"/>
  <c r="E20" i="2" s="1"/>
  <c r="K19" i="1"/>
  <c r="C24" i="2"/>
  <c r="E24" i="2" s="1"/>
  <c r="L24" i="2" s="1"/>
  <c r="K23" i="1"/>
  <c r="C28" i="2"/>
  <c r="E28" i="2" s="1"/>
  <c r="L28" i="2" s="1"/>
  <c r="K27" i="1"/>
  <c r="C32" i="2"/>
  <c r="E32" i="2" s="1"/>
  <c r="L32" i="2" s="1"/>
  <c r="K31" i="1"/>
  <c r="K37" i="1"/>
  <c r="C38" i="2"/>
  <c r="C21" i="2"/>
  <c r="E21" i="2" s="1"/>
  <c r="L21" i="2" s="1"/>
  <c r="K20" i="1"/>
  <c r="C25" i="2"/>
  <c r="E25" i="2" s="1"/>
  <c r="K24" i="1"/>
  <c r="C39" i="2"/>
  <c r="E39" i="2" s="1"/>
  <c r="L39" i="2" s="1"/>
  <c r="K38" i="1"/>
  <c r="C13" i="2"/>
  <c r="E13" i="2" s="1"/>
  <c r="L13" i="2" s="1"/>
  <c r="K12" i="1"/>
  <c r="K9" i="1"/>
  <c r="C11" i="2"/>
  <c r="E11" i="2" s="1"/>
  <c r="L11" i="2" s="1"/>
  <c r="K10" i="1"/>
  <c r="C17" i="2"/>
  <c r="E17" i="2" s="1"/>
  <c r="J28" i="1"/>
  <c r="CC35" i="1"/>
  <c r="L35" i="1" s="1"/>
  <c r="N35" i="1" s="1"/>
  <c r="J15" i="1"/>
  <c r="J23" i="1"/>
  <c r="J27" i="1"/>
  <c r="J31" i="1"/>
  <c r="J20" i="1"/>
  <c r="J36" i="1"/>
  <c r="CB37" i="1"/>
  <c r="CI37" i="1" s="1"/>
  <c r="I37" i="1"/>
  <c r="I38" i="2" s="1"/>
  <c r="K38" i="2" s="1"/>
  <c r="CB34" i="1"/>
  <c r="CI34" i="1" s="1"/>
  <c r="I34" i="1"/>
  <c r="I35" i="2" s="1"/>
  <c r="K35" i="2" s="1"/>
  <c r="CB32" i="1"/>
  <c r="CI32" i="1" s="1"/>
  <c r="I32" i="1"/>
  <c r="I33" i="2" s="1"/>
  <c r="K33" i="2" s="1"/>
  <c r="CB30" i="1"/>
  <c r="CI30" i="1" s="1"/>
  <c r="I30" i="1"/>
  <c r="I31" i="2" s="1"/>
  <c r="K31" i="2" s="1"/>
  <c r="CB29" i="1"/>
  <c r="CI29" i="1" s="1"/>
  <c r="I29" i="1"/>
  <c r="I30" i="2" s="1"/>
  <c r="K30" i="2" s="1"/>
  <c r="CB26" i="1"/>
  <c r="CI26" i="1" s="1"/>
  <c r="I26" i="1"/>
  <c r="I27" i="2" s="1"/>
  <c r="K27" i="2" s="1"/>
  <c r="L27" i="2" s="1"/>
  <c r="CB24" i="1"/>
  <c r="CI24" i="1" s="1"/>
  <c r="I24" i="1"/>
  <c r="I25" i="2" s="1"/>
  <c r="K25" i="2" s="1"/>
  <c r="CB22" i="1"/>
  <c r="CI22" i="1" s="1"/>
  <c r="I22" i="1"/>
  <c r="I23" i="2" s="1"/>
  <c r="K23" i="2" s="1"/>
  <c r="CB19" i="1"/>
  <c r="CI19" i="1" s="1"/>
  <c r="I19" i="1"/>
  <c r="I20" i="2" s="1"/>
  <c r="K20" i="2" s="1"/>
  <c r="CB17" i="1"/>
  <c r="CI17" i="1" s="1"/>
  <c r="I17" i="1"/>
  <c r="I18" i="2" s="1"/>
  <c r="K18" i="2" s="1"/>
  <c r="CB13" i="1"/>
  <c r="CI13" i="1" s="1"/>
  <c r="I13" i="1"/>
  <c r="I14" i="2" s="1"/>
  <c r="K14" i="2" s="1"/>
  <c r="CB11" i="1"/>
  <c r="CI11" i="1" s="1"/>
  <c r="I11" i="1"/>
  <c r="I12" i="2" s="1"/>
  <c r="K12" i="2" s="1"/>
  <c r="J21" i="1"/>
  <c r="J25" i="1"/>
  <c r="J33" i="1"/>
  <c r="J18" i="1"/>
  <c r="J38" i="1"/>
  <c r="J12" i="1"/>
  <c r="J10" i="1"/>
  <c r="CE37" i="1"/>
  <c r="L37" i="1"/>
  <c r="CE34" i="1"/>
  <c r="L34" i="1"/>
  <c r="CE32" i="1"/>
  <c r="L32" i="1"/>
  <c r="CE30" i="1"/>
  <c r="L30" i="1"/>
  <c r="CE29" i="1"/>
  <c r="L29" i="1"/>
  <c r="CE26" i="1"/>
  <c r="L26" i="1"/>
  <c r="N26" i="1" s="1"/>
  <c r="O26" i="1" s="1"/>
  <c r="P26" i="1" s="1"/>
  <c r="CE24" i="1"/>
  <c r="L24" i="1"/>
  <c r="CE22" i="1"/>
  <c r="L22" i="1"/>
  <c r="CE19" i="1"/>
  <c r="L19" i="1"/>
  <c r="CE17" i="1"/>
  <c r="L17" i="1"/>
  <c r="CE13" i="1"/>
  <c r="L13" i="1"/>
  <c r="CE11" i="1"/>
  <c r="L11" i="1"/>
  <c r="CE25" i="1"/>
  <c r="L25" i="1"/>
  <c r="N25" i="1" s="1"/>
  <c r="O25" i="1" s="1"/>
  <c r="P25" i="1" s="1"/>
  <c r="CE12" i="1"/>
  <c r="L12" i="1"/>
  <c r="CE33" i="1"/>
  <c r="L33" i="1"/>
  <c r="CE27" i="1"/>
  <c r="L27" i="1"/>
  <c r="CE18" i="1"/>
  <c r="L18" i="1"/>
  <c r="N18" i="1" s="1"/>
  <c r="CE14" i="1"/>
  <c r="L14" i="1"/>
  <c r="N14" i="1" s="1"/>
  <c r="CC9" i="1"/>
  <c r="L9" i="1" s="1"/>
  <c r="CE38" i="1"/>
  <c r="L38" i="1"/>
  <c r="CE31" i="1"/>
  <c r="L31" i="1"/>
  <c r="CE20" i="1"/>
  <c r="L20" i="1"/>
  <c r="CE36" i="1"/>
  <c r="L36" i="1"/>
  <c r="N36" i="1" s="1"/>
  <c r="CE21" i="1"/>
  <c r="L21" i="1"/>
  <c r="CE23" i="1"/>
  <c r="L23" i="1"/>
  <c r="CE15" i="1"/>
  <c r="L15" i="1"/>
  <c r="CE10" i="1"/>
  <c r="L10" i="1"/>
  <c r="CE16" i="1"/>
  <c r="L16" i="1"/>
  <c r="N16" i="1" s="1"/>
  <c r="H14" i="1"/>
  <c r="BT39" i="1"/>
  <c r="CC39" i="1" s="1"/>
  <c r="C39" i="1"/>
  <c r="CA35" i="1"/>
  <c r="I35" i="1" s="1"/>
  <c r="I36" i="2" s="1"/>
  <c r="K36" i="2" s="1"/>
  <c r="L36" i="2" s="1"/>
  <c r="BZ28" i="1"/>
  <c r="CB28" i="1" s="1"/>
  <c r="CI28" i="1" s="1"/>
  <c r="CA16" i="1"/>
  <c r="I16" i="1" s="1"/>
  <c r="I17" i="2" s="1"/>
  <c r="K17" i="2" s="1"/>
  <c r="CB31" i="1"/>
  <c r="CI31" i="1" s="1"/>
  <c r="CB20" i="1"/>
  <c r="CI20" i="1" s="1"/>
  <c r="CB33" i="1"/>
  <c r="CI33" i="1" s="1"/>
  <c r="BZ16" i="1"/>
  <c r="BZ9" i="1"/>
  <c r="CA9" i="1"/>
  <c r="I9" i="1" s="1"/>
  <c r="I10" i="2" s="1"/>
  <c r="CC28" i="1"/>
  <c r="CB23" i="1"/>
  <c r="CI23" i="1" s="1"/>
  <c r="CB38" i="1"/>
  <c r="CI38" i="1" s="1"/>
  <c r="CB25" i="1"/>
  <c r="CI25" i="1" s="1"/>
  <c r="CB12" i="1"/>
  <c r="CI12" i="1" s="1"/>
  <c r="CB36" i="1"/>
  <c r="CI36" i="1" s="1"/>
  <c r="CB21" i="1"/>
  <c r="CI21" i="1" s="1"/>
  <c r="CB27" i="1"/>
  <c r="CI27" i="1" s="1"/>
  <c r="CB18" i="1"/>
  <c r="CI18" i="1" s="1"/>
  <c r="CB15" i="1"/>
  <c r="CI15" i="1" s="1"/>
  <c r="BZ14" i="1"/>
  <c r="CB14" i="1" s="1"/>
  <c r="CI14" i="1" s="1"/>
  <c r="CC49" i="1"/>
  <c r="CB10" i="1"/>
  <c r="CI10" i="1" s="1"/>
  <c r="Z9" i="1"/>
  <c r="N34" i="1" l="1"/>
  <c r="N32" i="1"/>
  <c r="O32" i="1" s="1"/>
  <c r="P32" i="1" s="1"/>
  <c r="N38" i="1"/>
  <c r="O38" i="1" s="1"/>
  <c r="P38" i="1" s="1"/>
  <c r="N15" i="1"/>
  <c r="O15" i="1" s="1"/>
  <c r="P15" i="1" s="1"/>
  <c r="N33" i="1"/>
  <c r="O33" i="1" s="1"/>
  <c r="P33" i="1" s="1"/>
  <c r="CE35" i="1"/>
  <c r="N10" i="1"/>
  <c r="O10" i="1" s="1"/>
  <c r="P10" i="1" s="1"/>
  <c r="N37" i="1"/>
  <c r="O37" i="1" s="1"/>
  <c r="P37" i="1" s="1"/>
  <c r="O18" i="1"/>
  <c r="P18" i="1" s="1"/>
  <c r="O35" i="1"/>
  <c r="P35" i="1" s="1"/>
  <c r="O34" i="1"/>
  <c r="P34" i="1" s="1"/>
  <c r="O14" i="1"/>
  <c r="P14" i="1" s="1"/>
  <c r="O36" i="1"/>
  <c r="P36" i="1" s="1"/>
  <c r="O16" i="1"/>
  <c r="P16" i="1" s="1"/>
  <c r="N12" i="1"/>
  <c r="N24" i="1"/>
  <c r="O24" i="1" s="1"/>
  <c r="P24" i="1" s="1"/>
  <c r="N27" i="1"/>
  <c r="O27" i="1" s="1"/>
  <c r="P27" i="1" s="1"/>
  <c r="N19" i="1"/>
  <c r="N11" i="1"/>
  <c r="N21" i="1"/>
  <c r="O21" i="1" s="1"/>
  <c r="P21" i="1" s="1"/>
  <c r="N13" i="1"/>
  <c r="V37" i="8"/>
  <c r="AC37" i="8" s="1"/>
  <c r="N20" i="1"/>
  <c r="N31" i="1"/>
  <c r="O31" i="1" s="1"/>
  <c r="P31" i="1" s="1"/>
  <c r="N23" i="1"/>
  <c r="O23" i="1" s="1"/>
  <c r="P23" i="1" s="1"/>
  <c r="N30" i="1"/>
  <c r="N22" i="1"/>
  <c r="O22" i="1" s="1"/>
  <c r="P22" i="1" s="1"/>
  <c r="N29" i="1"/>
  <c r="O29" i="1" s="1"/>
  <c r="P29" i="1" s="1"/>
  <c r="N9" i="1"/>
  <c r="N17" i="1"/>
  <c r="U42" i="8"/>
  <c r="U44" i="8" s="1"/>
  <c r="K10" i="2"/>
  <c r="E38" i="2"/>
  <c r="Y7" i="8"/>
  <c r="Y42" i="8" s="1"/>
  <c r="T42" i="8"/>
  <c r="V7" i="8"/>
  <c r="J22" i="1"/>
  <c r="J17" i="1"/>
  <c r="L17" i="2"/>
  <c r="L12" i="2"/>
  <c r="L25" i="2"/>
  <c r="J37" i="1"/>
  <c r="L18" i="2"/>
  <c r="L35" i="2"/>
  <c r="L31" i="2"/>
  <c r="L33" i="2"/>
  <c r="L23" i="2"/>
  <c r="L30" i="2"/>
  <c r="L14" i="2"/>
  <c r="K39" i="1"/>
  <c r="C40" i="2"/>
  <c r="E40" i="2" s="1"/>
  <c r="J14" i="1"/>
  <c r="G15" i="4"/>
  <c r="J26" i="1"/>
  <c r="J29" i="1"/>
  <c r="J13" i="1"/>
  <c r="L20" i="2"/>
  <c r="K41" i="1"/>
  <c r="CE9" i="1"/>
  <c r="J11" i="1"/>
  <c r="J19" i="1"/>
  <c r="J24" i="1"/>
  <c r="J30" i="1"/>
  <c r="J32" i="1"/>
  <c r="J34" i="1"/>
  <c r="J16" i="1"/>
  <c r="J35" i="1"/>
  <c r="BZ39" i="1"/>
  <c r="BZ44" i="1" s="1"/>
  <c r="CA39" i="1"/>
  <c r="I39" i="1" s="1"/>
  <c r="CB35" i="1"/>
  <c r="CI35" i="1" s="1"/>
  <c r="J9" i="1"/>
  <c r="CE28" i="1"/>
  <c r="L28" i="1"/>
  <c r="N28" i="1" s="1"/>
  <c r="O28" i="1" s="1"/>
  <c r="P28" i="1" s="1"/>
  <c r="CC44" i="1"/>
  <c r="CE39" i="1"/>
  <c r="L39" i="1"/>
  <c r="CB16" i="1"/>
  <c r="CI16" i="1" s="1"/>
  <c r="BT44" i="1"/>
  <c r="CB9" i="1"/>
  <c r="F41" i="1"/>
  <c r="H41" i="1"/>
  <c r="CC50" i="1"/>
  <c r="CC51" i="1" s="1"/>
  <c r="AE9" i="1"/>
  <c r="AE42" i="1"/>
  <c r="AE41" i="1"/>
  <c r="AO39" i="1"/>
  <c r="Z39" i="1"/>
  <c r="AO38" i="1"/>
  <c r="Z38" i="1"/>
  <c r="AO37" i="1"/>
  <c r="Z37" i="1"/>
  <c r="AO36" i="1"/>
  <c r="Z36" i="1"/>
  <c r="AO35" i="1"/>
  <c r="Z35" i="1"/>
  <c r="AO34" i="1"/>
  <c r="Z34" i="1"/>
  <c r="AO33" i="1"/>
  <c r="Z33" i="1"/>
  <c r="AO31" i="1"/>
  <c r="AA31" i="1"/>
  <c r="Z31" i="1"/>
  <c r="AO30" i="1"/>
  <c r="Z30" i="1"/>
  <c r="AO29" i="1"/>
  <c r="Z29" i="1"/>
  <c r="AO28" i="1"/>
  <c r="Z28" i="1"/>
  <c r="AO27" i="1"/>
  <c r="Z27" i="1"/>
  <c r="AO26" i="1"/>
  <c r="Z26" i="1"/>
  <c r="AO25" i="1"/>
  <c r="AA25" i="1"/>
  <c r="Z25" i="1"/>
  <c r="AO24" i="1"/>
  <c r="AA24" i="1"/>
  <c r="E41" i="1" s="1"/>
  <c r="Z24" i="1"/>
  <c r="AO23" i="1"/>
  <c r="Z23" i="1"/>
  <c r="AO22" i="1"/>
  <c r="Z22" i="1"/>
  <c r="AO20" i="1"/>
  <c r="Z20" i="1"/>
  <c r="AO19" i="1"/>
  <c r="Z19" i="1"/>
  <c r="AO18" i="1"/>
  <c r="Z18" i="1"/>
  <c r="AO17" i="1"/>
  <c r="Z17" i="1"/>
  <c r="AO15" i="1"/>
  <c r="Z15" i="1"/>
  <c r="AO14" i="1"/>
  <c r="Z14" i="1"/>
  <c r="AO13" i="1"/>
  <c r="Z13" i="1"/>
  <c r="AO12" i="1"/>
  <c r="Z12" i="1"/>
  <c r="AO11" i="1"/>
  <c r="Z11" i="1"/>
  <c r="AO10" i="1"/>
  <c r="Z10" i="1"/>
  <c r="AO9" i="1"/>
  <c r="N39" i="1" l="1"/>
  <c r="CA44" i="1"/>
  <c r="BY46" i="1" s="1"/>
  <c r="O20" i="1"/>
  <c r="P20" i="1" s="1"/>
  <c r="O13" i="1"/>
  <c r="P13" i="1" s="1"/>
  <c r="O19" i="1"/>
  <c r="P19" i="1" s="1"/>
  <c r="O39" i="1"/>
  <c r="P39" i="1" s="1"/>
  <c r="O17" i="1"/>
  <c r="P17" i="1" s="1"/>
  <c r="O30" i="1"/>
  <c r="P30" i="1" s="1"/>
  <c r="N41" i="1"/>
  <c r="O11" i="1"/>
  <c r="P11" i="1" s="1"/>
  <c r="O12" i="1"/>
  <c r="P12" i="1" s="1"/>
  <c r="L38" i="2"/>
  <c r="V42" i="8"/>
  <c r="AC7" i="8"/>
  <c r="AC97" i="8" s="1"/>
  <c r="Y43" i="8"/>
  <c r="Y44" i="8" s="1"/>
  <c r="Y51" i="8" s="1"/>
  <c r="I41" i="1"/>
  <c r="I40" i="2"/>
  <c r="I42" i="2" s="1"/>
  <c r="G42" i="4"/>
  <c r="I15" i="4"/>
  <c r="J15" i="4" s="1"/>
  <c r="E15" i="2" s="1"/>
  <c r="L15" i="2" s="1"/>
  <c r="CB39" i="1"/>
  <c r="CI39" i="1" s="1"/>
  <c r="J39" i="1"/>
  <c r="J41" i="1" s="1"/>
  <c r="CI9" i="1"/>
  <c r="CE44" i="1"/>
  <c r="CD45" i="1" s="1"/>
  <c r="CC46" i="1" s="1"/>
  <c r="CC53" i="1" s="1"/>
  <c r="AN9" i="1"/>
  <c r="AP9" i="1" s="1"/>
  <c r="AO40" i="1"/>
  <c r="AE10" i="1"/>
  <c r="AK10" i="1" s="1"/>
  <c r="AE11" i="1"/>
  <c r="AL11" i="1" s="1"/>
  <c r="AE12" i="1"/>
  <c r="AK12" i="1" s="1"/>
  <c r="AE13" i="1"/>
  <c r="AL13" i="1" s="1"/>
  <c r="AE14" i="1"/>
  <c r="AK14" i="1" s="1"/>
  <c r="AE15" i="1"/>
  <c r="AL15" i="1" s="1"/>
  <c r="AE17" i="1"/>
  <c r="AK17" i="1" s="1"/>
  <c r="AE18" i="1"/>
  <c r="AL18" i="1" s="1"/>
  <c r="AE19" i="1"/>
  <c r="AK19" i="1" s="1"/>
  <c r="AE20" i="1"/>
  <c r="AL20" i="1" s="1"/>
  <c r="AE22" i="1"/>
  <c r="AK22" i="1" s="1"/>
  <c r="AE23" i="1"/>
  <c r="AL23" i="1" s="1"/>
  <c r="AE26" i="1"/>
  <c r="AK26" i="1" s="1"/>
  <c r="AE27" i="1"/>
  <c r="AL27" i="1" s="1"/>
  <c r="AE28" i="1"/>
  <c r="AK28" i="1" s="1"/>
  <c r="AE29" i="1"/>
  <c r="AL29" i="1" s="1"/>
  <c r="AE30" i="1"/>
  <c r="AK30" i="1" s="1"/>
  <c r="AE33" i="1"/>
  <c r="AK33" i="1" s="1"/>
  <c r="AE34" i="1"/>
  <c r="AN34" i="1" s="1"/>
  <c r="AP34" i="1" s="1"/>
  <c r="AE35" i="1"/>
  <c r="AK35" i="1" s="1"/>
  <c r="AE36" i="1"/>
  <c r="AN36" i="1" s="1"/>
  <c r="AP36" i="1" s="1"/>
  <c r="AE37" i="1"/>
  <c r="AK37" i="1" s="1"/>
  <c r="AE38" i="1"/>
  <c r="AN38" i="1" s="1"/>
  <c r="AP38" i="1" s="1"/>
  <c r="AE39" i="1"/>
  <c r="AK39" i="1" s="1"/>
  <c r="AE24" i="1"/>
  <c r="AK24" i="1" s="1"/>
  <c r="AE31" i="1"/>
  <c r="AK31" i="1" s="1"/>
  <c r="AE25" i="1"/>
  <c r="AN25" i="1" s="1"/>
  <c r="AP25" i="1" s="1"/>
  <c r="AK9" i="1"/>
  <c r="AL9" i="1"/>
  <c r="AK23" i="1" l="1"/>
  <c r="K40" i="2"/>
  <c r="I43" i="1"/>
  <c r="H42" i="1"/>
  <c r="H43" i="1" s="1"/>
  <c r="CB44" i="1"/>
  <c r="CE99" i="1"/>
  <c r="AN13" i="1"/>
  <c r="AP13" i="1" s="1"/>
  <c r="CG99" i="1"/>
  <c r="CI44" i="1"/>
  <c r="AN23" i="1"/>
  <c r="AP23" i="1" s="1"/>
  <c r="AK18" i="1"/>
  <c r="AM18" i="1" s="1"/>
  <c r="AN37" i="1"/>
  <c r="AP37" i="1" s="1"/>
  <c r="AN18" i="1"/>
  <c r="AP18" i="1" s="1"/>
  <c r="AN11" i="1"/>
  <c r="AP11" i="1" s="1"/>
  <c r="AL34" i="1"/>
  <c r="AN20" i="1"/>
  <c r="AP20" i="1" s="1"/>
  <c r="AN30" i="1"/>
  <c r="AP30" i="1" s="1"/>
  <c r="AN15" i="1"/>
  <c r="AP15" i="1" s="1"/>
  <c r="AK13" i="1"/>
  <c r="AM13" i="1" s="1"/>
  <c r="AL38" i="1"/>
  <c r="AK36" i="1"/>
  <c r="AN33" i="1"/>
  <c r="AP33" i="1" s="1"/>
  <c r="C41" i="1"/>
  <c r="AM9" i="1"/>
  <c r="AN26" i="1"/>
  <c r="AP26" i="1" s="1"/>
  <c r="AN22" i="1"/>
  <c r="AP22" i="1" s="1"/>
  <c r="AN19" i="1"/>
  <c r="AP19" i="1" s="1"/>
  <c r="AN17" i="1"/>
  <c r="AP17" i="1" s="1"/>
  <c r="AN14" i="1"/>
  <c r="AP14" i="1" s="1"/>
  <c r="AN12" i="1"/>
  <c r="AP12" i="1" s="1"/>
  <c r="AN10" i="1"/>
  <c r="AP10" i="1" s="1"/>
  <c r="AK29" i="1"/>
  <c r="AM29" i="1" s="1"/>
  <c r="AK20" i="1"/>
  <c r="AM20" i="1" s="1"/>
  <c r="AK15" i="1"/>
  <c r="AM15" i="1" s="1"/>
  <c r="AK11" i="1"/>
  <c r="AM11" i="1" s="1"/>
  <c r="AN39" i="1"/>
  <c r="AP39" i="1" s="1"/>
  <c r="AK38" i="1"/>
  <c r="AL36" i="1"/>
  <c r="AN35" i="1"/>
  <c r="AP35" i="1" s="1"/>
  <c r="AK34" i="1"/>
  <c r="AM34" i="1" s="1"/>
  <c r="AE40" i="1"/>
  <c r="AN28" i="1"/>
  <c r="AP28" i="1" s="1"/>
  <c r="AN29" i="1"/>
  <c r="AP29" i="1" s="1"/>
  <c r="AN27" i="1"/>
  <c r="AP27" i="1" s="1"/>
  <c r="AK27" i="1"/>
  <c r="AM27" i="1" s="1"/>
  <c r="AL25" i="1"/>
  <c r="AL30" i="1"/>
  <c r="AM30" i="1" s="1"/>
  <c r="AL28" i="1"/>
  <c r="AM28" i="1" s="1"/>
  <c r="AL26" i="1"/>
  <c r="AM26" i="1" s="1"/>
  <c r="AL22" i="1"/>
  <c r="AM22" i="1" s="1"/>
  <c r="AL19" i="1"/>
  <c r="AM19" i="1" s="1"/>
  <c r="AL17" i="1"/>
  <c r="AM17" i="1" s="1"/>
  <c r="AL14" i="1"/>
  <c r="AM14" i="1" s="1"/>
  <c r="AL12" i="1"/>
  <c r="AM12" i="1" s="1"/>
  <c r="AL10" i="1"/>
  <c r="AM10" i="1" s="1"/>
  <c r="AL39" i="1"/>
  <c r="AM39" i="1" s="1"/>
  <c r="AL37" i="1"/>
  <c r="AM37" i="1" s="1"/>
  <c r="AL35" i="1"/>
  <c r="AM35" i="1" s="1"/>
  <c r="AL33" i="1"/>
  <c r="AM33" i="1" s="1"/>
  <c r="AN24" i="1"/>
  <c r="AP24" i="1" s="1"/>
  <c r="AL24" i="1"/>
  <c r="AM24" i="1" s="1"/>
  <c r="AN31" i="1"/>
  <c r="AP31" i="1" s="1"/>
  <c r="AL31" i="1"/>
  <c r="AM31" i="1" s="1"/>
  <c r="AK25" i="1"/>
  <c r="AM23" i="1"/>
  <c r="L40" i="2" l="1"/>
  <c r="K42" i="2"/>
  <c r="AM36" i="1"/>
  <c r="AM38" i="1"/>
  <c r="AP40" i="1"/>
  <c r="AK40" i="1"/>
  <c r="L41" i="1"/>
  <c r="AL40" i="1"/>
  <c r="AN40" i="1"/>
  <c r="AM25" i="1"/>
  <c r="AM40" i="1" l="1"/>
  <c r="Q38" i="1"/>
  <c r="I10" i="4" l="1"/>
  <c r="I42" i="4" l="1"/>
  <c r="E42" i="4"/>
  <c r="J10" i="4"/>
  <c r="C10" i="2" s="1"/>
  <c r="C42" i="2" s="1"/>
  <c r="J42" i="4" l="1"/>
  <c r="Q10" i="1"/>
  <c r="Q27" i="1"/>
  <c r="Q15" i="1"/>
  <c r="Q20" i="1"/>
  <c r="O9" i="1"/>
  <c r="N44" i="1"/>
  <c r="Q12" i="1"/>
  <c r="Q24" i="1"/>
  <c r="Q28" i="1"/>
  <c r="Q35" i="1"/>
  <c r="Q36" i="1"/>
  <c r="Q11" i="1"/>
  <c r="Q18" i="1"/>
  <c r="O41" i="1" l="1"/>
  <c r="P9" i="1"/>
  <c r="P41" i="1" s="1"/>
  <c r="E10" i="2"/>
  <c r="E42" i="2" s="1"/>
  <c r="Q26" i="1"/>
  <c r="Q22" i="1"/>
  <c r="Q13" i="1"/>
  <c r="Q17" i="1"/>
  <c r="Q30" i="1"/>
  <c r="Q34" i="1"/>
  <c r="Q23" i="1"/>
  <c r="Q14" i="1"/>
  <c r="Q25" i="1"/>
  <c r="Q33" i="1"/>
  <c r="Q29" i="1"/>
  <c r="Q31" i="1"/>
  <c r="L10" i="2" l="1"/>
  <c r="L42" i="2" s="1"/>
  <c r="K42" i="1"/>
  <c r="K43" i="1" s="1"/>
  <c r="Q19" i="1"/>
  <c r="K45" i="1" l="1"/>
  <c r="BC41" i="1"/>
  <c r="J42" i="1"/>
  <c r="J43" i="1" s="1"/>
  <c r="Q9" i="1"/>
  <c r="Q41" i="1" s="1"/>
  <c r="Q43" i="1"/>
  <c r="Q44" i="1" l="1"/>
</calcChain>
</file>

<file path=xl/sharedStrings.xml><?xml version="1.0" encoding="utf-8"?>
<sst xmlns="http://schemas.openxmlformats.org/spreadsheetml/2006/main" count="998" uniqueCount="316">
  <si>
    <t>CONTPAQ i</t>
  </si>
  <si>
    <t xml:space="preserve">      NÓMINAS</t>
  </si>
  <si>
    <t>05 CONSULTORES &amp; ASESORES INTEGRALES SC_</t>
  </si>
  <si>
    <t>Lista de Raya (forma tabular)</t>
  </si>
  <si>
    <t>Reg Pat IMSS: 00000000000,B4251548102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</si>
  <si>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</si>
  <si>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</si>
  <si>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</si>
  <si>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</si>
  <si>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</si>
  <si>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</si>
  <si>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Ajuste al neto</t>
  </si>
  <si>
    <t>*TOTAL* *DEDUCCIONES*</t>
  </si>
  <si>
    <t>*NETO*</t>
  </si>
  <si>
    <t xml:space="preserve">    Reg. Pat. IMSS:  B4251548102</t>
  </si>
  <si>
    <t xml:space="preserve">  =============</t>
  </si>
  <si>
    <t>Total Gral.</t>
  </si>
  <si>
    <t xml:space="preserve"> </t>
  </si>
  <si>
    <t>Clave</t>
  </si>
  <si>
    <t>-----------</t>
  </si>
  <si>
    <t>IVA</t>
  </si>
  <si>
    <t>INFONAVIT</t>
  </si>
  <si>
    <t>TOTAL PERCEPCIONES</t>
  </si>
  <si>
    <t>COMISIONES</t>
  </si>
  <si>
    <t>Comision 10%</t>
  </si>
  <si>
    <t>2% S/N</t>
  </si>
  <si>
    <t>SUBTOTAL</t>
  </si>
  <si>
    <t>SUBSIDO ENTREGADO</t>
  </si>
  <si>
    <t>Apoyo Sindicato Apoyo 23 c.c.</t>
  </si>
  <si>
    <t>Apoyo Extra</t>
  </si>
  <si>
    <t xml:space="preserve"> Infonavit</t>
  </si>
  <si>
    <t>SGV</t>
  </si>
  <si>
    <t>LOPEZ LOPEZ JOSE MARIA</t>
  </si>
  <si>
    <t>MENDOZA HURTADO ARMANDO AMANTHOS</t>
  </si>
  <si>
    <t>BECERRA JIMENEZ ALEJANDRO</t>
  </si>
  <si>
    <t>BJ00</t>
  </si>
  <si>
    <t>GUZMAN SPILLER SERGI</t>
  </si>
  <si>
    <t>CC08</t>
  </si>
  <si>
    <t>LC03</t>
  </si>
  <si>
    <t>TE10</t>
  </si>
  <si>
    <t>AA30</t>
  </si>
  <si>
    <t>AM11</t>
  </si>
  <si>
    <t>ALFARO QUEZADA PABLO</t>
  </si>
  <si>
    <t>AQ28</t>
  </si>
  <si>
    <t>AR02</t>
  </si>
  <si>
    <t>JARDINERO</t>
  </si>
  <si>
    <t>ASESOR DE SERVICIO</t>
  </si>
  <si>
    <t>ASESOR DE VENTAS</t>
  </si>
  <si>
    <t>CG22</t>
  </si>
  <si>
    <t>CM04</t>
  </si>
  <si>
    <t>CR06</t>
  </si>
  <si>
    <t>GA03</t>
  </si>
  <si>
    <t>GD09</t>
  </si>
  <si>
    <t>GG14</t>
  </si>
  <si>
    <t>GT22</t>
  </si>
  <si>
    <t>HP01</t>
  </si>
  <si>
    <t>HQ10</t>
  </si>
  <si>
    <t>HERNANDEZ QUINTERO M</t>
  </si>
  <si>
    <t>LL07</t>
  </si>
  <si>
    <t>MH04</t>
  </si>
  <si>
    <t>RL14</t>
  </si>
  <si>
    <t>RAMIREZ LATOUR VICTOR</t>
  </si>
  <si>
    <t>RMR26</t>
  </si>
  <si>
    <t>VV28</t>
  </si>
  <si>
    <t>ZM30</t>
  </si>
  <si>
    <t>Séptimo día</t>
  </si>
  <si>
    <t>Alfaro Quezada Pablo Francisco</t>
  </si>
  <si>
    <t>Andrade Rodriguez Miguel Angel</t>
  </si>
  <si>
    <t>Arellano Alvarez Javier</t>
  </si>
  <si>
    <t>Becerra Jimenez Alejandro Bonifacio</t>
  </si>
  <si>
    <t>Camarena Gamez Guillermo</t>
  </si>
  <si>
    <t>Cardenas Martinez Moises</t>
  </si>
  <si>
    <t>0005</t>
  </si>
  <si>
    <t>Casas Villanueva Mario</t>
  </si>
  <si>
    <t>Castro Romero Lizbeth</t>
  </si>
  <si>
    <t>Cazares Chaires Erika</t>
  </si>
  <si>
    <t>0021</t>
  </si>
  <si>
    <t>Gallegos Rios Octavio Alberto</t>
  </si>
  <si>
    <t>Gomez Torres Rosaura</t>
  </si>
  <si>
    <t>Gonzalez  Duarte David</t>
  </si>
  <si>
    <t>Gonzalez Garcia Luis Roberto</t>
  </si>
  <si>
    <t>Guillen Ayala Juan Carlos</t>
  </si>
  <si>
    <t>0010</t>
  </si>
  <si>
    <t>Guzman Espiller Sergio Luis Alberto</t>
  </si>
  <si>
    <t>HQ20</t>
  </si>
  <si>
    <t>Hernandez Quintero Maria De La Luz</t>
  </si>
  <si>
    <t>Herrera Parra Luis Enrique</t>
  </si>
  <si>
    <t>LC00</t>
  </si>
  <si>
    <t>Leon Cabello Luis Alberto</t>
  </si>
  <si>
    <t>Lopez Lopez Jose Maria</t>
  </si>
  <si>
    <t>Mendoza Hurtado Armando Amanthos</t>
  </si>
  <si>
    <t>Ramirez Latour Victor Manuel Martin</t>
  </si>
  <si>
    <t>RMR2</t>
  </si>
  <si>
    <t>Ramirez Mondragon Ricardo Heriberto</t>
  </si>
  <si>
    <t>RS16</t>
  </si>
  <si>
    <t>Tierrafria Escaramusa Israel</t>
  </si>
  <si>
    <t>Vazquez  Villalobos Ma Felisa</t>
  </si>
  <si>
    <t>Zarate Martinez Ricardo</t>
  </si>
  <si>
    <t xml:space="preserve">GALLEGOS RIOS ALBERTO </t>
  </si>
  <si>
    <t xml:space="preserve">GONZALEZ DUARTE DAVID </t>
  </si>
  <si>
    <t xml:space="preserve">CAMARENA GAMEZ GUILLERMO </t>
  </si>
  <si>
    <t xml:space="preserve">TIERRAFRIA ESCARAMUZA ISRAEL </t>
  </si>
  <si>
    <t xml:space="preserve">ARELLANO ALVAREZ JAVIER </t>
  </si>
  <si>
    <t xml:space="preserve">GUILLEN AYALA JUAN CARLOS </t>
  </si>
  <si>
    <t xml:space="preserve">CASTRO ROMERO LIZBETH </t>
  </si>
  <si>
    <t xml:space="preserve">HERRERA PARRA LUIS ENRIQUE </t>
  </si>
  <si>
    <t xml:space="preserve">GONZALEZ GARCIA LUIS ROBERTO </t>
  </si>
  <si>
    <t xml:space="preserve">VAZQUEZ VILLALOBOS MA FELISA </t>
  </si>
  <si>
    <t xml:space="preserve">ANDRADE RODRIGUEZ MIGUEL ANGEL </t>
  </si>
  <si>
    <t xml:space="preserve">RAMIREZ MONDRAGON RICARDO HERIBERTO </t>
  </si>
  <si>
    <t xml:space="preserve">ZARATE MARTINEZ RICARDO </t>
  </si>
  <si>
    <t xml:space="preserve">GOMEZ TORREZ ROSAURA </t>
  </si>
  <si>
    <t>LEON CABELLO LUIS ALBERTO</t>
  </si>
  <si>
    <t xml:space="preserve"> Nombre</t>
  </si>
  <si>
    <t>nfonavit  p</t>
  </si>
  <si>
    <t>----------------------</t>
  </si>
  <si>
    <t xml:space="preserve"> BECERRA JIMENEZ ALEJ</t>
  </si>
  <si>
    <t xml:space="preserve"> GUZMAN SPILLER SERGI</t>
  </si>
  <si>
    <t xml:space="preserve"> CAZARES CHAIRES ERIK</t>
  </si>
  <si>
    <t xml:space="preserve"> LEON CABELLO LUIS AL</t>
  </si>
  <si>
    <t xml:space="preserve"> TIERRAFRIA ESCARAMUZ</t>
  </si>
  <si>
    <t xml:space="preserve"> CASAS VILLANUEVA MAR</t>
  </si>
  <si>
    <t xml:space="preserve"> GALLEGOS RIOS OCTAVI</t>
  </si>
  <si>
    <t xml:space="preserve"> ARELLANO ALVAREZ JAV</t>
  </si>
  <si>
    <t xml:space="preserve"> ALARCON MICHEL SAMUE</t>
  </si>
  <si>
    <t xml:space="preserve"> ALFARO QUEZADA PABLO</t>
  </si>
  <si>
    <t xml:space="preserve"> ANDRADE RODRIGUEZ MI</t>
  </si>
  <si>
    <t xml:space="preserve"> CAMARENA GAMEZ GUILL</t>
  </si>
  <si>
    <t xml:space="preserve"> CARDENAS MARTINEZ MO</t>
  </si>
  <si>
    <t xml:space="preserve"> CASTRO ROMERO LIZBET</t>
  </si>
  <si>
    <t xml:space="preserve"> GUILLEN AYALA JUAN C</t>
  </si>
  <si>
    <t xml:space="preserve"> GONZALEZ DUARTE DAVI</t>
  </si>
  <si>
    <t xml:space="preserve"> GONZALEZ GARCIA LUIS</t>
  </si>
  <si>
    <t>HA11</t>
  </si>
  <si>
    <t xml:space="preserve"> HERRERA ALMARAZ BLAN</t>
  </si>
  <si>
    <t xml:space="preserve"> HERRERA PARRA LUIS E</t>
  </si>
  <si>
    <t xml:space="preserve"> HERNANDEZ QUINTERO M</t>
  </si>
  <si>
    <t xml:space="preserve"> LOPEZ LOPEZ JOSE MAR</t>
  </si>
  <si>
    <t xml:space="preserve"> MENDOZA HURTADO ARMA</t>
  </si>
  <si>
    <t xml:space="preserve"> RAMIREZ LATOUR VICTO</t>
  </si>
  <si>
    <t xml:space="preserve"> RAMIREZ MONDRAGON RI</t>
  </si>
  <si>
    <t>RRJ30</t>
  </si>
  <si>
    <t xml:space="preserve"> RAMIREZ REYNOSO JUAN</t>
  </si>
  <si>
    <t xml:space="preserve"> RAMIREZ SOLORZANO ER</t>
  </si>
  <si>
    <t xml:space="preserve"> VAZQUEZ VILLALOBOS M</t>
  </si>
  <si>
    <t xml:space="preserve"> ZARATE MARTINEZ RICA</t>
  </si>
  <si>
    <t>*TOTAL* *PERCEPCIONES* FACTURAR</t>
  </si>
  <si>
    <t>Consultores &amp; Asesores Integrales S.C.</t>
  </si>
  <si>
    <t>Servicios Prestados a :  ALECSA CELAYA S DE RL DE CV</t>
  </si>
  <si>
    <t>devuelto a empresa</t>
  </si>
  <si>
    <t>Area</t>
  </si>
  <si>
    <t>Nombre</t>
  </si>
  <si>
    <t>Suc</t>
  </si>
  <si>
    <t>Puesto</t>
  </si>
  <si>
    <t>FIJO / VARIABLE</t>
  </si>
  <si>
    <t>sub   S/N</t>
  </si>
  <si>
    <t>Sueldo Quincenal</t>
  </si>
  <si>
    <t>Prima Vacacional</t>
  </si>
  <si>
    <t>Dias de Vacaciones</t>
  </si>
  <si>
    <t>SEGURO DE VIDA (-)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</si>
  <si>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</si>
  <si>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</si>
  <si>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</si>
  <si>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</si>
  <si>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</si>
  <si>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</si>
  <si>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</si>
  <si>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</si>
  <si>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</si>
  <si>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</si>
  <si>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</si>
  <si>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</si>
  <si>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OBSERVACIONES</t>
  </si>
  <si>
    <t>CONSULTORES</t>
  </si>
  <si>
    <t>SINDICATO</t>
  </si>
  <si>
    <t>COMISION</t>
  </si>
  <si>
    <t>CORPORATIVO</t>
  </si>
  <si>
    <t>ADMON SERVICIO</t>
  </si>
  <si>
    <t>GUZMAN SPILLER SERGIO</t>
  </si>
  <si>
    <t>CAZARES CHAIRES ERIKA</t>
  </si>
  <si>
    <t>SEMINUEVOS</t>
  </si>
  <si>
    <t>CAMARENA GAMEZ GUILLERMO</t>
  </si>
  <si>
    <t>GUILLEN AYALA JUAN CARLOS</t>
  </si>
  <si>
    <t>RAMIREZ MONDRAGON RICARDO</t>
  </si>
  <si>
    <t>TIERRAFRIA ESCARAMUZA ISRAEL</t>
  </si>
  <si>
    <t>VENTAS</t>
  </si>
  <si>
    <t>CASAS VILLANUEVA MARIO</t>
  </si>
  <si>
    <t>COACH DE VENTAS</t>
  </si>
  <si>
    <t>GALLEGOS RIOS OCTAVIO ALBERTO</t>
  </si>
  <si>
    <t>ARELLANO ALVAREZ JAVIER</t>
  </si>
  <si>
    <t>ALFARO QUEZADA PABLO FRANCISCO</t>
  </si>
  <si>
    <t>ANDRADE RODRIGUEZ MIGUEL</t>
  </si>
  <si>
    <t>CARDENAS MARTINEZ MOISES</t>
  </si>
  <si>
    <t>CASTRO ROMERO LIZBETH</t>
  </si>
  <si>
    <t>GONZALEZ DUARTE DAVID</t>
  </si>
  <si>
    <t>GONZALEZ GARCIA LUIS ALBERTO</t>
  </si>
  <si>
    <t>GOMEZ TORRES ROSAURA</t>
  </si>
  <si>
    <t>HERRERA PARRA LUIS ENRIQUE</t>
  </si>
  <si>
    <t>HERNANDEZ QUINTERO MARIA LUZ</t>
  </si>
  <si>
    <t>MENDOZA HURTADO ARMANDO</t>
  </si>
  <si>
    <t>VAZQUEZ VILLALOBOS MA FELIZA</t>
  </si>
  <si>
    <t>ZARATE MARTINEZ RICARDO</t>
  </si>
  <si>
    <t>VIZACAYA  LARALAURA OLIVIA</t>
  </si>
  <si>
    <t>CONTRERAS CONTRERAS JESUS RAMON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</si>
  <si>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</si>
  <si>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</si>
  <si>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</si>
  <si>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</si>
  <si>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</si>
  <si>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</si>
  <si>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</si>
  <si>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</si>
  <si>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</si>
  <si>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</si>
  <si>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 xml:space="preserve">BAEZ MONROY ELIZABETH </t>
  </si>
  <si>
    <t>VIZACAYA LARA LAURA OLIVIA</t>
  </si>
  <si>
    <t>Baez Monroy Elizabeth</t>
  </si>
  <si>
    <t>Contreras Contreras Jesus Ramon</t>
  </si>
  <si>
    <t>Vizcaya Lara Laura Olivia</t>
  </si>
  <si>
    <t>PENDIENTE COBRAR EN  SEM 08_09</t>
  </si>
  <si>
    <t>Periodo 7 al 7 Semanal del 10/02/2016 al 16/02/2016</t>
  </si>
  <si>
    <t>0AQ28</t>
  </si>
  <si>
    <t>0AR02</t>
  </si>
  <si>
    <t>0AA30</t>
  </si>
  <si>
    <t>0BM09</t>
  </si>
  <si>
    <t>0BJ00</t>
  </si>
  <si>
    <t>0CG22</t>
  </si>
  <si>
    <t>0CM04</t>
  </si>
  <si>
    <t>00005</t>
  </si>
  <si>
    <t>0CR06</t>
  </si>
  <si>
    <t>0CC08</t>
  </si>
  <si>
    <t>00021</t>
  </si>
  <si>
    <t>0GT22</t>
  </si>
  <si>
    <t>0GD09</t>
  </si>
  <si>
    <t>0GG14</t>
  </si>
  <si>
    <t>0GA03</t>
  </si>
  <si>
    <t>00010</t>
  </si>
  <si>
    <t>0HQ20</t>
  </si>
  <si>
    <t>0HP01</t>
  </si>
  <si>
    <t>0LC00</t>
  </si>
  <si>
    <t>0LL07</t>
  </si>
  <si>
    <t>0MH04</t>
  </si>
  <si>
    <t>0RL14</t>
  </si>
  <si>
    <t>0RMR2</t>
  </si>
  <si>
    <t>0TE10</t>
  </si>
  <si>
    <t>0VV28</t>
  </si>
  <si>
    <t>0VL08</t>
  </si>
  <si>
    <t>0ZM30</t>
  </si>
  <si>
    <t>Reg Pat IMSS: B4251548102</t>
  </si>
  <si>
    <t>0CCE8</t>
  </si>
  <si>
    <t>Periodo 8 al 8 Semanal del 17/02/2016 al 23/02/2016</t>
  </si>
  <si>
    <t>Periodo Semana 08</t>
  </si>
  <si>
    <t>17/02/2016 AL 23/02/2016</t>
  </si>
  <si>
    <t>DISPERCION</t>
  </si>
  <si>
    <t>DIFERENCIA</t>
  </si>
  <si>
    <t>No. Cuenta</t>
  </si>
  <si>
    <t>2983764567</t>
  </si>
  <si>
    <t>2948214670</t>
  </si>
  <si>
    <t>1482165252</t>
  </si>
  <si>
    <t>2717430477</t>
  </si>
  <si>
    <t>1,056.3 DE INFONAVIT QUE QUEDA A DEBER</t>
  </si>
  <si>
    <t>2799505563</t>
  </si>
  <si>
    <t>2947946147</t>
  </si>
  <si>
    <t>CARRANCO MANCERA VIRIDIANA</t>
  </si>
  <si>
    <t>2730894303</t>
  </si>
  <si>
    <t>2952119943</t>
  </si>
  <si>
    <t>2763908836</t>
  </si>
  <si>
    <t>REGISTRO DUPLICADO</t>
  </si>
  <si>
    <t>1256980872</t>
  </si>
  <si>
    <t>2863632784</t>
  </si>
  <si>
    <t>2845119553</t>
  </si>
  <si>
    <t>GONZALEZ GARCIA LUIS ROBERTO</t>
  </si>
  <si>
    <t>2875214688</t>
  </si>
  <si>
    <t>2885831555</t>
  </si>
  <si>
    <t>1499469494</t>
  </si>
  <si>
    <t>1457482116</t>
  </si>
  <si>
    <t>2872328917</t>
  </si>
  <si>
    <t>GALAVIZ GONZALEZ ISAIAS</t>
  </si>
  <si>
    <t>ENTRARON EL LUNES 15/02</t>
  </si>
  <si>
    <t>SIN CUENTA PERDIO IFE</t>
  </si>
  <si>
    <t>2735539994</t>
  </si>
  <si>
    <t>2907255446</t>
  </si>
  <si>
    <t>LOPEZ VELAZQUEZ FRANCISCO DE ASIS</t>
  </si>
  <si>
    <t>2986252915</t>
  </si>
  <si>
    <t>2986347665</t>
  </si>
  <si>
    <t>2885838584</t>
  </si>
  <si>
    <t>2906306063</t>
  </si>
  <si>
    <t xml:space="preserve">PAGAR SOLO COMISIONES POR SINDICATO, ESTA DE INCAPACIDAD </t>
  </si>
  <si>
    <t>2971591843</t>
  </si>
  <si>
    <t>1473959848</t>
  </si>
  <si>
    <t>NETO EMPLEADO</t>
  </si>
  <si>
    <t>Comisión empleado</t>
  </si>
  <si>
    <t>0CM12</t>
  </si>
  <si>
    <t>0GG15</t>
  </si>
  <si>
    <t>Carranco Mancera Viridiana</t>
  </si>
  <si>
    <t>Galaviz Gonzalez Isaias</t>
  </si>
  <si>
    <t>0LV15</t>
  </si>
  <si>
    <t>Lopez Velazquez Francisco De Asis</t>
  </si>
  <si>
    <t>Reg Pat IMSS:B4251548102</t>
  </si>
  <si>
    <t>VERIFICAR DIAS DE INCAPACIDAD</t>
  </si>
  <si>
    <t>INC</t>
  </si>
  <si>
    <t>TOTAL</t>
  </si>
  <si>
    <t>CC</t>
  </si>
  <si>
    <t>701-070</t>
  </si>
  <si>
    <t>700-070</t>
  </si>
  <si>
    <t>705-001-070</t>
  </si>
  <si>
    <t>703-070</t>
  </si>
  <si>
    <t>ALECSA CELAYA, SRL DE CV</t>
  </si>
  <si>
    <t xml:space="preserve">DESGLOSE DE NOMINA </t>
  </si>
  <si>
    <t>PERIODO</t>
  </si>
  <si>
    <t>CUENTA</t>
  </si>
  <si>
    <t>IMPORTE</t>
  </si>
  <si>
    <t>702-070</t>
  </si>
  <si>
    <t>704-070</t>
  </si>
  <si>
    <t>683-001-001</t>
  </si>
  <si>
    <t>SEMANA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</si>
</sst>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0.00_ ;[Red]\-0.00\ "/>
    <numFmt numFmtId="166" formatCode="&quot;$&quot;#,##0.00;[Red]&quot;$&quot;#,##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8"/>
      <color indexed="10"/>
      <name val="Arial"/>
      <family val="2"/>
    </font>
    <font>
      <sz val="9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8"/>
      <color theme="0" tint="-0.249977111117893"/>
      <name val="Arial"/>
      <family val="2"/>
    </font>
    <font>
      <b/>
      <sz val="8"/>
      <color theme="0" tint="-0.249977111117893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indexed="64"/>
      </bottom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3" fillId="0" borderId="0"/>
  </cellStyleXfs>
  <cellXfs count="243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centerContinuous"/>
    </xf>
    <xf numFmtId="0" fontId="17" fillId="0" borderId="0" xfId="0" applyFont="1" applyAlignment="1"/>
    <xf numFmtId="0" fontId="16" fillId="0" borderId="0" xfId="0" applyFont="1"/>
    <xf numFmtId="49" fontId="18" fillId="0" borderId="0" xfId="0" applyNumberFormat="1" applyFont="1" applyAlignment="1">
      <alignment horizontal="centerContinuous" vertical="top"/>
    </xf>
    <xf numFmtId="49" fontId="16" fillId="0" borderId="0" xfId="0" applyNumberFormat="1" applyFont="1"/>
    <xf numFmtId="0" fontId="19" fillId="2" borderId="1" xfId="0" applyFont="1" applyFill="1" applyBorder="1" applyAlignment="1">
      <alignment horizontal="center" vertical="center" wrapText="1"/>
    </xf>
    <xf numFmtId="49" fontId="16" fillId="0" borderId="0" xfId="0" applyNumberFormat="1" applyFont="1" applyFill="1"/>
    <xf numFmtId="0" fontId="16" fillId="0" borderId="0" xfId="0" applyFont="1" applyFill="1"/>
    <xf numFmtId="44" fontId="16" fillId="0" borderId="0" xfId="2" applyFont="1" applyFill="1"/>
    <xf numFmtId="0" fontId="17" fillId="0" borderId="0" xfId="0" applyFont="1" applyFill="1"/>
    <xf numFmtId="0" fontId="20" fillId="0" borderId="0" xfId="0" applyFont="1" applyFill="1"/>
    <xf numFmtId="49" fontId="21" fillId="0" borderId="0" xfId="0" applyNumberFormat="1" applyFont="1" applyFill="1" applyAlignment="1">
      <alignment horizontal="left"/>
    </xf>
    <xf numFmtId="164" fontId="21" fillId="0" borderId="3" xfId="0" applyNumberFormat="1" applyFont="1" applyFill="1" applyBorder="1"/>
    <xf numFmtId="0" fontId="19" fillId="0" borderId="0" xfId="0" applyFont="1" applyFill="1"/>
    <xf numFmtId="165" fontId="11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Fill="1"/>
    <xf numFmtId="0" fontId="2" fillId="0" borderId="0" xfId="0" applyFont="1" applyAlignment="1"/>
    <xf numFmtId="0" fontId="0" fillId="0" borderId="0" xfId="0"/>
    <xf numFmtId="0" fontId="2" fillId="0" borderId="0" xfId="0" applyFont="1"/>
    <xf numFmtId="0" fontId="0" fillId="0" borderId="0" xfId="0" applyAlignment="1"/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9" fillId="0" borderId="0" xfId="0" applyFont="1"/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0" fillId="0" borderId="0" xfId="1" applyFont="1"/>
    <xf numFmtId="43" fontId="16" fillId="0" borderId="0" xfId="1" applyFont="1"/>
    <xf numFmtId="43" fontId="2" fillId="0" borderId="0" xfId="1" applyFont="1"/>
    <xf numFmtId="164" fontId="16" fillId="0" borderId="0" xfId="0" applyNumberFormat="1" applyFont="1" applyFill="1"/>
    <xf numFmtId="0" fontId="0" fillId="0" borderId="0" xfId="0"/>
    <xf numFmtId="0" fontId="2" fillId="0" borderId="0" xfId="0" applyFont="1"/>
    <xf numFmtId="0" fontId="0" fillId="0" borderId="0" xfId="0" applyAlignment="1"/>
    <xf numFmtId="49" fontId="2" fillId="0" borderId="0" xfId="0" applyNumberFormat="1" applyFont="1" applyFill="1"/>
    <xf numFmtId="0" fontId="2" fillId="0" borderId="0" xfId="0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49" fontId="13" fillId="0" borderId="0" xfId="0" applyNumberFormat="1" applyFont="1" applyFill="1" applyAlignment="1">
      <alignment horizontal="left"/>
    </xf>
    <xf numFmtId="0" fontId="1" fillId="0" borderId="0" xfId="0" applyFont="1" applyFill="1"/>
    <xf numFmtId="164" fontId="13" fillId="0" borderId="0" xfId="0" applyNumberFormat="1" applyFont="1" applyFill="1"/>
    <xf numFmtId="0" fontId="7" fillId="0" borderId="0" xfId="0" applyFont="1" applyAlignment="1"/>
    <xf numFmtId="49" fontId="11" fillId="0" borderId="0" xfId="0" applyNumberFormat="1" applyFont="1" applyFill="1"/>
    <xf numFmtId="166" fontId="2" fillId="0" borderId="0" xfId="0" applyNumberFormat="1" applyFont="1" applyFill="1"/>
    <xf numFmtId="49" fontId="9" fillId="0" borderId="0" xfId="0" applyNumberFormat="1" applyFont="1" applyFill="1" applyAlignment="1">
      <alignment horizontal="left"/>
    </xf>
    <xf numFmtId="164" fontId="19" fillId="0" borderId="0" xfId="0" applyNumberFormat="1" applyFont="1" applyFill="1"/>
    <xf numFmtId="43" fontId="16" fillId="0" borderId="0" xfId="0" applyNumberFormat="1" applyFont="1" applyFill="1"/>
    <xf numFmtId="0" fontId="17" fillId="0" borderId="0" xfId="0" applyFont="1" applyAlignment="1"/>
    <xf numFmtId="0" fontId="17" fillId="0" borderId="0" xfId="0" applyFont="1" applyAlignme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24" fillId="0" borderId="0" xfId="3" applyFont="1" applyFill="1" applyAlignment="1" applyProtection="1">
      <alignment horizontal="left"/>
    </xf>
    <xf numFmtId="0" fontId="24" fillId="0" borderId="0" xfId="3" applyFont="1" applyFill="1" applyAlignment="1" applyProtection="1">
      <alignment horizontal="center"/>
    </xf>
    <xf numFmtId="43" fontId="25" fillId="0" borderId="0" xfId="1" applyFont="1" applyFill="1" applyAlignment="1" applyProtection="1">
      <alignment horizontal="center"/>
    </xf>
    <xf numFmtId="43" fontId="26" fillId="0" borderId="0" xfId="1" applyFont="1" applyFill="1" applyAlignment="1" applyProtection="1">
      <alignment horizontal="center"/>
    </xf>
    <xf numFmtId="0" fontId="25" fillId="0" borderId="0" xfId="0" applyFont="1" applyFill="1" applyProtection="1"/>
    <xf numFmtId="0" fontId="25" fillId="0" borderId="0" xfId="0" applyFont="1" applyProtection="1"/>
    <xf numFmtId="0" fontId="27" fillId="0" borderId="0" xfId="3" applyFont="1" applyFill="1" applyAlignment="1" applyProtection="1">
      <alignment horizontal="left"/>
    </xf>
    <xf numFmtId="0" fontId="27" fillId="0" borderId="0" xfId="3" applyFont="1" applyFill="1" applyAlignment="1" applyProtection="1">
      <alignment horizontal="center"/>
    </xf>
    <xf numFmtId="15" fontId="24" fillId="0" borderId="0" xfId="3" applyNumberFormat="1" applyFont="1" applyFill="1" applyAlignment="1" applyProtection="1">
      <alignment horizontal="left"/>
    </xf>
    <xf numFmtId="15" fontId="24" fillId="0" borderId="0" xfId="3" applyNumberFormat="1" applyFont="1" applyFill="1" applyAlignment="1" applyProtection="1">
      <alignment horizontal="center"/>
    </xf>
    <xf numFmtId="0" fontId="26" fillId="0" borderId="0" xfId="0" applyFont="1"/>
    <xf numFmtId="43" fontId="25" fillId="0" borderId="0" xfId="1" applyFont="1"/>
    <xf numFmtId="43" fontId="26" fillId="0" borderId="0" xfId="1" applyFont="1"/>
    <xf numFmtId="43" fontId="26" fillId="4" borderId="4" xfId="1" applyFont="1" applyFill="1" applyBorder="1" applyAlignment="1">
      <alignment horizontal="center" wrapText="1"/>
    </xf>
    <xf numFmtId="0" fontId="26" fillId="0" borderId="0" xfId="0" applyFont="1" applyFill="1"/>
    <xf numFmtId="0" fontId="25" fillId="0" borderId="4" xfId="0" applyFont="1" applyBorder="1"/>
    <xf numFmtId="0" fontId="25" fillId="0" borderId="4" xfId="0" applyFont="1" applyBorder="1" applyAlignment="1">
      <alignment horizontal="right"/>
    </xf>
    <xf numFmtId="0" fontId="25" fillId="6" borderId="4" xfId="0" applyFont="1" applyFill="1" applyBorder="1"/>
    <xf numFmtId="43" fontId="22" fillId="0" borderId="4" xfId="1" applyFont="1" applyBorder="1"/>
    <xf numFmtId="43" fontId="22" fillId="6" borderId="4" xfId="1" applyFont="1" applyFill="1" applyBorder="1"/>
    <xf numFmtId="43" fontId="25" fillId="0" borderId="4" xfId="1" applyFont="1" applyBorder="1"/>
    <xf numFmtId="43" fontId="25" fillId="6" borderId="4" xfId="1" applyFont="1" applyFill="1" applyBorder="1"/>
    <xf numFmtId="43" fontId="28" fillId="6" borderId="4" xfId="1" applyFont="1" applyFill="1" applyBorder="1"/>
    <xf numFmtId="43" fontId="26" fillId="7" borderId="4" xfId="1" applyFont="1" applyFill="1" applyBorder="1"/>
    <xf numFmtId="43" fontId="25" fillId="8" borderId="4" xfId="1" applyFont="1" applyFill="1" applyBorder="1"/>
    <xf numFmtId="43" fontId="25" fillId="9" borderId="4" xfId="1" applyFont="1" applyFill="1" applyBorder="1" applyAlignment="1">
      <alignment horizontal="center"/>
    </xf>
    <xf numFmtId="43" fontId="25" fillId="0" borderId="4" xfId="1" applyFont="1" applyFill="1" applyBorder="1" applyAlignment="1">
      <alignment horizontal="center"/>
    </xf>
    <xf numFmtId="43" fontId="25" fillId="10" borderId="4" xfId="1" applyFont="1" applyFill="1" applyBorder="1" applyAlignment="1">
      <alignment horizontal="center"/>
    </xf>
    <xf numFmtId="0" fontId="25" fillId="0" borderId="0" xfId="0" applyFont="1" applyFill="1"/>
    <xf numFmtId="0" fontId="25" fillId="6" borderId="0" xfId="0" applyFont="1" applyFill="1"/>
    <xf numFmtId="0" fontId="25" fillId="0" borderId="0" xfId="0" applyFont="1"/>
    <xf numFmtId="0" fontId="25" fillId="3" borderId="4" xfId="0" applyFont="1" applyFill="1" applyBorder="1"/>
    <xf numFmtId="12" fontId="25" fillId="6" borderId="4" xfId="1" applyNumberFormat="1" applyFont="1" applyFill="1" applyBorder="1"/>
    <xf numFmtId="0" fontId="25" fillId="0" borderId="4" xfId="0" applyFont="1" applyFill="1" applyBorder="1"/>
    <xf numFmtId="0" fontId="26" fillId="0" borderId="4" xfId="0" applyFont="1" applyFill="1" applyBorder="1"/>
    <xf numFmtId="0" fontId="25" fillId="0" borderId="6" xfId="0" applyFont="1" applyFill="1" applyBorder="1"/>
    <xf numFmtId="43" fontId="25" fillId="0" borderId="6" xfId="1" applyFont="1" applyFill="1" applyBorder="1"/>
    <xf numFmtId="43" fontId="26" fillId="0" borderId="4" xfId="1" applyFont="1" applyFill="1" applyBorder="1"/>
    <xf numFmtId="43" fontId="26" fillId="0" borderId="6" xfId="1" applyFont="1" applyFill="1" applyBorder="1"/>
    <xf numFmtId="0" fontId="26" fillId="0" borderId="7" xfId="0" applyFont="1" applyBorder="1"/>
    <xf numFmtId="43" fontId="26" fillId="0" borderId="7" xfId="1" applyFont="1" applyBorder="1"/>
    <xf numFmtId="0" fontId="29" fillId="0" borderId="0" xfId="0" applyFont="1"/>
    <xf numFmtId="0" fontId="16" fillId="11" borderId="0" xfId="0" applyFont="1" applyFill="1"/>
    <xf numFmtId="0" fontId="0" fillId="0" borderId="0" xfId="0"/>
    <xf numFmtId="0" fontId="31" fillId="11" borderId="0" xfId="0" applyFont="1" applyFill="1"/>
    <xf numFmtId="43" fontId="16" fillId="11" borderId="4" xfId="1" applyFont="1" applyFill="1" applyBorder="1" applyAlignment="1">
      <alignment horizontal="left"/>
    </xf>
    <xf numFmtId="43" fontId="16" fillId="11" borderId="0" xfId="1" applyFont="1" applyFill="1"/>
    <xf numFmtId="0" fontId="0" fillId="0" borderId="0" xfId="0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lef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164" fontId="16" fillId="0" borderId="0" xfId="0" applyNumberFormat="1" applyFont="1"/>
    <xf numFmtId="0" fontId="25" fillId="0" borderId="4" xfId="0" applyFont="1" applyFill="1" applyBorder="1" applyAlignment="1">
      <alignment horizontal="right"/>
    </xf>
    <xf numFmtId="43" fontId="22" fillId="0" borderId="4" xfId="1" applyFont="1" applyFill="1" applyBorder="1"/>
    <xf numFmtId="43" fontId="25" fillId="0" borderId="4" xfId="1" applyFont="1" applyFill="1" applyBorder="1"/>
    <xf numFmtId="43" fontId="28" fillId="0" borderId="4" xfId="1" applyFont="1" applyFill="1" applyBorder="1"/>
    <xf numFmtId="164" fontId="9" fillId="0" borderId="0" xfId="0" applyNumberFormat="1" applyFont="1" applyFill="1"/>
    <xf numFmtId="164" fontId="30" fillId="0" borderId="0" xfId="0" applyNumberFormat="1" applyFont="1" applyFill="1"/>
    <xf numFmtId="0" fontId="9" fillId="0" borderId="0" xfId="0" applyFont="1" applyFill="1"/>
    <xf numFmtId="0" fontId="32" fillId="0" borderId="0" xfId="0" applyFont="1" applyAlignment="1">
      <alignment horizontal="left" vertical="center"/>
    </xf>
    <xf numFmtId="43" fontId="16" fillId="0" borderId="0" xfId="1" applyFont="1" applyAlignment="1">
      <alignment horizontal="center" vertical="center"/>
    </xf>
    <xf numFmtId="43" fontId="16" fillId="0" borderId="0" xfId="1" applyFont="1" applyFill="1"/>
    <xf numFmtId="43" fontId="16" fillId="12" borderId="0" xfId="1" applyFont="1" applyFill="1"/>
    <xf numFmtId="0" fontId="16" fillId="13" borderId="0" xfId="0" applyFont="1" applyFill="1"/>
    <xf numFmtId="43" fontId="26" fillId="4" borderId="4" xfId="1" applyFont="1" applyFill="1" applyBorder="1" applyAlignment="1">
      <alignment horizontal="center" wrapText="1"/>
    </xf>
    <xf numFmtId="0" fontId="17" fillId="0" borderId="0" xfId="0" applyFont="1" applyAlignment="1"/>
    <xf numFmtId="16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8" fillId="0" borderId="0" xfId="0" applyFont="1" applyAlignment="1"/>
    <xf numFmtId="0" fontId="17" fillId="0" borderId="0" xfId="0" applyFont="1" applyProtection="1"/>
    <xf numFmtId="0" fontId="33" fillId="0" borderId="0" xfId="0" applyFont="1"/>
    <xf numFmtId="43" fontId="33" fillId="4" borderId="4" xfId="1" applyFont="1" applyFill="1" applyBorder="1" applyAlignment="1">
      <alignment horizontal="center" vertical="center" wrapText="1"/>
    </xf>
    <xf numFmtId="43" fontId="34" fillId="0" borderId="0" xfId="1" applyFont="1" applyFill="1"/>
    <xf numFmtId="43" fontId="17" fillId="0" borderId="0" xfId="0" applyNumberFormat="1" applyFont="1" applyFill="1"/>
    <xf numFmtId="43" fontId="14" fillId="0" borderId="0" xfId="1" applyFont="1" applyFill="1"/>
    <xf numFmtId="43" fontId="17" fillId="0" borderId="0" xfId="1" applyFont="1" applyFill="1"/>
    <xf numFmtId="0" fontId="25" fillId="0" borderId="0" xfId="0" applyFont="1" applyFill="1" applyAlignment="1">
      <alignment horizontal="left"/>
    </xf>
    <xf numFmtId="0" fontId="17" fillId="3" borderId="0" xfId="0" applyFont="1" applyFill="1"/>
    <xf numFmtId="0" fontId="25" fillId="3" borderId="4" xfId="0" applyFont="1" applyFill="1" applyBorder="1" applyAlignment="1">
      <alignment horizontal="right"/>
    </xf>
    <xf numFmtId="43" fontId="22" fillId="3" borderId="4" xfId="1" applyFont="1" applyFill="1" applyBorder="1"/>
    <xf numFmtId="43" fontId="25" fillId="3" borderId="4" xfId="1" applyFont="1" applyFill="1" applyBorder="1"/>
    <xf numFmtId="43" fontId="28" fillId="3" borderId="4" xfId="1" applyFont="1" applyFill="1" applyBorder="1"/>
    <xf numFmtId="43" fontId="26" fillId="3" borderId="4" xfId="1" applyFont="1" applyFill="1" applyBorder="1"/>
    <xf numFmtId="43" fontId="25" fillId="3" borderId="4" xfId="1" applyFont="1" applyFill="1" applyBorder="1" applyAlignment="1">
      <alignment horizontal="center"/>
    </xf>
    <xf numFmtId="0" fontId="25" fillId="3" borderId="0" xfId="0" applyFont="1" applyFill="1"/>
    <xf numFmtId="43" fontId="17" fillId="3" borderId="0" xfId="0" applyNumberFormat="1" applyFont="1" applyFill="1"/>
    <xf numFmtId="0" fontId="25" fillId="3" borderId="0" xfId="0" applyFont="1" applyFill="1" applyAlignment="1">
      <alignment horizontal="left"/>
    </xf>
    <xf numFmtId="4" fontId="0" fillId="0" borderId="0" xfId="0" applyNumberFormat="1" applyFill="1"/>
    <xf numFmtId="43" fontId="22" fillId="0" borderId="0" xfId="1" applyFont="1"/>
    <xf numFmtId="43" fontId="33" fillId="0" borderId="7" xfId="1" applyFont="1" applyBorder="1"/>
    <xf numFmtId="43" fontId="33" fillId="0" borderId="0" xfId="1" applyFont="1"/>
    <xf numFmtId="43" fontId="33" fillId="7" borderId="4" xfId="1" applyFont="1" applyFill="1" applyBorder="1"/>
    <xf numFmtId="0" fontId="17" fillId="0" borderId="0" xfId="0" applyFont="1"/>
    <xf numFmtId="43" fontId="25" fillId="3" borderId="0" xfId="1" applyFont="1" applyFill="1"/>
    <xf numFmtId="49" fontId="16" fillId="3" borderId="2" xfId="0" applyNumberFormat="1" applyFont="1" applyFill="1" applyBorder="1"/>
    <xf numFmtId="0" fontId="0" fillId="3" borderId="2" xfId="0" applyFill="1" applyBorder="1"/>
    <xf numFmtId="44" fontId="16" fillId="3" borderId="2" xfId="2" applyFont="1" applyFill="1" applyBorder="1"/>
    <xf numFmtId="43" fontId="16" fillId="3" borderId="0" xfId="1" applyFont="1" applyFill="1"/>
    <xf numFmtId="43" fontId="25" fillId="3" borderId="0" xfId="0" applyNumberFormat="1" applyFont="1" applyFill="1"/>
    <xf numFmtId="49" fontId="2" fillId="3" borderId="0" xfId="0" applyNumberFormat="1" applyFont="1" applyFill="1"/>
    <xf numFmtId="0" fontId="2" fillId="3" borderId="0" xfId="0" applyFont="1" applyFill="1"/>
    <xf numFmtId="164" fontId="2" fillId="3" borderId="0" xfId="0" applyNumberFormat="1" applyFont="1" applyFill="1"/>
    <xf numFmtId="164" fontId="12" fillId="3" borderId="0" xfId="0" applyNumberFormat="1" applyFont="1" applyFill="1"/>
    <xf numFmtId="0" fontId="16" fillId="3" borderId="0" xfId="0" applyFont="1" applyFill="1"/>
    <xf numFmtId="43" fontId="34" fillId="3" borderId="0" xfId="1" applyFont="1" applyFill="1"/>
    <xf numFmtId="0" fontId="17" fillId="3" borderId="2" xfId="0" applyFont="1" applyFill="1" applyBorder="1"/>
    <xf numFmtId="43" fontId="14" fillId="3" borderId="0" xfId="1" applyFont="1" applyFill="1"/>
    <xf numFmtId="43" fontId="17" fillId="3" borderId="0" xfId="1" applyFont="1" applyFill="1"/>
    <xf numFmtId="49" fontId="2" fillId="3" borderId="2" xfId="0" applyNumberFormat="1" applyFont="1" applyFill="1" applyBorder="1"/>
    <xf numFmtId="0" fontId="25" fillId="3" borderId="2" xfId="0" applyFont="1" applyFill="1" applyBorder="1"/>
    <xf numFmtId="12" fontId="25" fillId="3" borderId="4" xfId="1" applyNumberFormat="1" applyFont="1" applyFill="1" applyBorder="1"/>
    <xf numFmtId="43" fontId="17" fillId="3" borderId="4" xfId="1" applyFont="1" applyFill="1" applyBorder="1"/>
    <xf numFmtId="0" fontId="0" fillId="3" borderId="2" xfId="0" applyFont="1" applyFill="1" applyBorder="1"/>
    <xf numFmtId="43" fontId="14" fillId="3" borderId="4" xfId="1" applyFont="1" applyFill="1" applyBorder="1"/>
    <xf numFmtId="4" fontId="0" fillId="3" borderId="0" xfId="0" applyNumberFormat="1" applyFill="1"/>
    <xf numFmtId="43" fontId="26" fillId="0" borderId="7" xfId="0" applyNumberFormat="1" applyFont="1" applyBorder="1"/>
    <xf numFmtId="43" fontId="16" fillId="3" borderId="0" xfId="0" applyNumberFormat="1" applyFont="1" applyFill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12" fillId="0" borderId="0" xfId="0" applyNumberFormat="1" applyFont="1"/>
    <xf numFmtId="164" fontId="9" fillId="0" borderId="0" xfId="0" applyNumberFormat="1" applyFont="1"/>
    <xf numFmtId="44" fontId="16" fillId="3" borderId="0" xfId="0" applyNumberFormat="1" applyFont="1" applyFill="1"/>
    <xf numFmtId="164" fontId="35" fillId="0" borderId="0" xfId="0" applyNumberFormat="1" applyFont="1" applyFill="1"/>
    <xf numFmtId="0" fontId="35" fillId="0" borderId="0" xfId="0" applyFont="1" applyFill="1"/>
    <xf numFmtId="43" fontId="35" fillId="0" borderId="0" xfId="0" applyNumberFormat="1" applyFont="1" applyFill="1"/>
    <xf numFmtId="0" fontId="36" fillId="0" borderId="0" xfId="0" applyFont="1" applyFill="1"/>
    <xf numFmtId="164" fontId="36" fillId="0" borderId="0" xfId="0" applyNumberFormat="1" applyFont="1" applyFill="1"/>
    <xf numFmtId="43" fontId="36" fillId="0" borderId="0" xfId="0" applyNumberFormat="1" applyFont="1" applyFill="1"/>
    <xf numFmtId="164" fontId="36" fillId="0" borderId="3" xfId="0" applyNumberFormat="1" applyFont="1" applyFill="1" applyBorder="1"/>
    <xf numFmtId="0" fontId="33" fillId="5" borderId="5" xfId="0" applyFont="1" applyFill="1" applyBorder="1" applyAlignment="1">
      <alignment horizontal="center"/>
    </xf>
    <xf numFmtId="0" fontId="26" fillId="5" borderId="5" xfId="0" applyFont="1" applyFill="1" applyBorder="1" applyAlignment="1">
      <alignment horizontal="center"/>
    </xf>
    <xf numFmtId="43" fontId="26" fillId="4" borderId="4" xfId="1" applyFont="1" applyFill="1" applyBorder="1" applyAlignment="1">
      <alignment horizontal="center" wrapText="1"/>
    </xf>
    <xf numFmtId="3" fontId="26" fillId="4" borderId="4" xfId="0" applyNumberFormat="1" applyFont="1" applyFill="1" applyBorder="1"/>
    <xf numFmtId="3" fontId="26" fillId="4" borderId="4" xfId="0" applyNumberFormat="1" applyFont="1" applyFill="1" applyBorder="1"/>
    <xf numFmtId="43" fontId="26" fillId="4" borderId="4" xfId="1" applyFont="1" applyFill="1" applyBorder="1" applyAlignment="1">
      <alignment horizontal="center" wrapText="1"/>
    </xf>
    <xf numFmtId="43" fontId="33" fillId="4" borderId="9" xfId="1" applyFont="1" applyFill="1" applyBorder="1" applyAlignment="1">
      <alignment horizontal="center" wrapText="1"/>
    </xf>
    <xf numFmtId="43" fontId="33" fillId="4" borderId="10" xfId="1" applyFont="1" applyFill="1" applyBorder="1" applyAlignment="1">
      <alignment horizontal="center" wrapText="1"/>
    </xf>
    <xf numFmtId="0" fontId="33" fillId="5" borderId="5" xfId="0" applyFont="1" applyFill="1" applyBorder="1" applyAlignment="1">
      <alignment horizontal="center"/>
    </xf>
    <xf numFmtId="0" fontId="26" fillId="5" borderId="5" xfId="0" applyFont="1" applyFill="1" applyBorder="1" applyAlignment="1">
      <alignment horizontal="center"/>
    </xf>
    <xf numFmtId="0" fontId="26" fillId="5" borderId="8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>
      <alignment horizontal="center"/>
    </xf>
    <xf numFmtId="0" fontId="38" fillId="0" borderId="11" xfId="0" applyFont="1" applyBorder="1"/>
    <xf numFmtId="0" fontId="37" fillId="0" borderId="11" xfId="0" applyFont="1" applyBorder="1"/>
    <xf numFmtId="14" fontId="38" fillId="0" borderId="11" xfId="0" applyNumberFormat="1" applyFont="1" applyBorder="1"/>
    <xf numFmtId="0" fontId="0" fillId="0" borderId="11" xfId="0" applyFont="1" applyBorder="1"/>
    <xf numFmtId="43" fontId="14" fillId="0" borderId="11" xfId="1" applyFont="1" applyBorder="1"/>
    <xf numFmtId="43" fontId="0" fillId="0" borderId="11" xfId="1" applyFont="1" applyBorder="1"/>
    <xf numFmtId="43" fontId="14" fillId="0" borderId="12" xfId="1" applyFont="1" applyBorder="1"/>
    <xf numFmtId="43" fontId="14" fillId="0" borderId="13" xfId="1" applyFont="1" applyBorder="1"/>
    <xf numFmtId="43" fontId="14" fillId="0" borderId="14" xfId="1" applyFont="1" applyBorder="1"/>
    <xf numFmtId="43" fontId="37" fillId="0" borderId="13" xfId="1" applyFont="1" applyBorder="1"/>
  </cellXfs>
  <cellStyles count="4">
    <cellStyle name="Millares" xfId="1" builtinId="3"/>
    <cellStyle name="Moneda" xfId="2" builtinId="4"/>
    <cellStyle name="Normal" xfId="0" builtinId="0"/>
    <cellStyle name="Normal_Hoja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1"/>
  <sheetViews>
    <sheetView topLeftCell="U25" workbookViewId="0">
      <selection activeCell="Z12" sqref="Z12"/>
    </sheetView>
  </sheetViews>
  <sheetFormatPr baseColWidth="10" defaultColWidth="18.28515625" defaultRowHeight="15.75" x14ac:dyDescent="0.25"/>
  <cols>
    <col min="1" max="1" width="18.28515625" style="101"/>
    <col min="2" max="2" width="39" style="101" bestFit="1" customWidth="1"/>
    <col min="3" max="3" width="7.7109375" style="101" bestFit="1" customWidth="1"/>
    <col min="4" max="4" width="20.85546875" style="101" customWidth="1"/>
    <col min="5" max="6" width="18.28515625" style="101" hidden="1" customWidth="1"/>
    <col min="7" max="8" width="18.28515625" style="101"/>
    <col min="9" max="10" width="18.28515625" style="82"/>
    <col min="11" max="13" width="18.28515625" style="82" customWidth="1"/>
    <col min="14" max="14" width="18.28515625" style="83"/>
    <col min="15" max="19" width="18.28515625" style="82"/>
    <col min="20" max="20" width="18.28515625" style="83"/>
    <col min="21" max="21" width="18.28515625" style="82"/>
    <col min="22" max="22" width="18.28515625" style="83"/>
    <col min="23" max="24" width="18.28515625" style="82"/>
    <col min="25" max="25" width="18.28515625" style="83"/>
    <col min="26" max="26" width="18.28515625" style="101"/>
    <col min="27" max="29" width="18.28515625" style="174"/>
    <col min="30" max="16384" width="18.28515625" style="101"/>
  </cols>
  <sheetData>
    <row r="1" spans="1:45" s="76" customFormat="1" x14ac:dyDescent="0.25">
      <c r="A1" s="71" t="s">
        <v>147</v>
      </c>
      <c r="B1" s="71"/>
      <c r="C1" s="71"/>
      <c r="D1" s="72"/>
      <c r="E1" s="72"/>
      <c r="F1" s="72"/>
      <c r="G1" s="72"/>
      <c r="H1" s="72"/>
      <c r="I1" s="73"/>
      <c r="J1" s="73"/>
      <c r="K1" s="73"/>
      <c r="L1" s="73"/>
      <c r="M1" s="73"/>
      <c r="N1" s="74"/>
      <c r="O1" s="73"/>
      <c r="P1" s="73"/>
      <c r="Q1" s="73"/>
      <c r="R1" s="73"/>
      <c r="S1" s="73"/>
      <c r="T1" s="74"/>
      <c r="U1" s="73"/>
      <c r="V1" s="74"/>
      <c r="W1" s="73"/>
      <c r="X1" s="73"/>
      <c r="Y1" s="74"/>
      <c r="Z1" s="75"/>
      <c r="AA1" s="151"/>
      <c r="AB1" s="151"/>
      <c r="AC1" s="151"/>
    </row>
    <row r="2" spans="1:45" s="76" customFormat="1" x14ac:dyDescent="0.25">
      <c r="A2" s="77" t="s">
        <v>148</v>
      </c>
      <c r="B2" s="77"/>
      <c r="C2" s="77"/>
      <c r="D2" s="78"/>
      <c r="E2" s="78"/>
      <c r="F2" s="78"/>
      <c r="G2" s="78"/>
      <c r="H2" s="78"/>
      <c r="I2" s="73"/>
      <c r="J2" s="73"/>
      <c r="K2" s="73"/>
      <c r="L2" s="73"/>
      <c r="M2" s="73"/>
      <c r="N2" s="74"/>
      <c r="O2" s="73" t="s">
        <v>149</v>
      </c>
      <c r="P2" s="73"/>
      <c r="Q2" s="73"/>
      <c r="R2" s="73"/>
      <c r="S2" s="73"/>
      <c r="T2" s="74"/>
      <c r="U2" s="73"/>
      <c r="V2" s="74"/>
      <c r="W2" s="73"/>
      <c r="X2" s="73"/>
      <c r="Y2" s="74"/>
      <c r="Z2" s="75"/>
      <c r="AA2" s="151"/>
      <c r="AB2" s="151"/>
      <c r="AC2" s="151"/>
    </row>
    <row r="3" spans="1:45" s="76" customFormat="1" x14ac:dyDescent="0.25">
      <c r="A3" s="79" t="s">
        <v>251</v>
      </c>
      <c r="B3" s="79"/>
      <c r="C3" s="79"/>
      <c r="D3" s="80"/>
      <c r="E3" s="80"/>
      <c r="F3" s="80"/>
      <c r="G3" s="80"/>
      <c r="H3" s="80"/>
      <c r="I3" s="73"/>
      <c r="J3" s="73"/>
      <c r="K3" s="73"/>
      <c r="L3" s="73"/>
      <c r="M3" s="73"/>
      <c r="N3" s="74"/>
      <c r="O3" s="73"/>
      <c r="P3" s="73"/>
      <c r="Q3" s="73"/>
      <c r="R3" s="73"/>
      <c r="S3" s="73"/>
      <c r="T3" s="74"/>
      <c r="U3" s="73"/>
      <c r="V3" s="74"/>
      <c r="W3" s="73"/>
      <c r="X3" s="73"/>
      <c r="Y3" s="74"/>
      <c r="Z3" s="75"/>
      <c r="AA3" s="151"/>
      <c r="AB3" s="151"/>
      <c r="AC3" s="151"/>
    </row>
    <row r="4" spans="1:45" s="81" customFormat="1" x14ac:dyDescent="0.25">
      <c r="A4" s="81" t="s">
        <v>252</v>
      </c>
      <c r="I4" s="82"/>
      <c r="J4" s="82"/>
      <c r="K4" s="82"/>
      <c r="L4" s="82"/>
      <c r="M4" s="82"/>
      <c r="N4" s="83"/>
      <c r="O4" s="82"/>
      <c r="P4" s="82"/>
      <c r="Q4" s="82"/>
      <c r="R4" s="82"/>
      <c r="S4" s="82"/>
      <c r="T4" s="83"/>
      <c r="U4" s="82"/>
      <c r="V4" s="83"/>
      <c r="W4" s="82"/>
      <c r="X4" s="82"/>
      <c r="Y4" s="83"/>
      <c r="AA4" s="152"/>
      <c r="AB4" s="152"/>
      <c r="AC4" s="152"/>
    </row>
    <row r="5" spans="1:45" s="81" customFormat="1" ht="15.75" customHeight="1" x14ac:dyDescent="0.25">
      <c r="A5" s="217" t="s">
        <v>150</v>
      </c>
      <c r="B5" s="217" t="s">
        <v>151</v>
      </c>
      <c r="C5" s="217" t="s">
        <v>152</v>
      </c>
      <c r="D5" s="217" t="s">
        <v>153</v>
      </c>
      <c r="E5" s="218" t="s">
        <v>154</v>
      </c>
      <c r="F5" s="218" t="s">
        <v>155</v>
      </c>
      <c r="G5" s="145"/>
      <c r="H5" s="145"/>
      <c r="I5" s="218" t="s">
        <v>156</v>
      </c>
      <c r="J5" s="145"/>
      <c r="K5" s="218" t="s">
        <v>157</v>
      </c>
      <c r="L5" s="218" t="s">
        <v>158</v>
      </c>
      <c r="M5" s="218" t="s">
        <v>159</v>
      </c>
      <c r="N5" s="218" t="s">
        <v>160</v>
      </c>
      <c r="O5" s="218" t="s">
        <v>161</v>
      </c>
      <c r="P5" s="218" t="s">
        <v>162</v>
      </c>
      <c r="Q5" s="218" t="s">
        <v>163</v>
      </c>
      <c r="R5" s="218" t="s">
        <v>164</v>
      </c>
      <c r="S5" s="218" t="s">
        <v>165</v>
      </c>
      <c r="T5" s="218" t="s">
        <v>166</v>
      </c>
      <c r="U5" s="218" t="s">
        <v>167</v>
      </c>
      <c r="V5" s="218" t="s">
        <v>168</v>
      </c>
      <c r="W5" s="218" t="s">
        <v>169</v>
      </c>
      <c r="X5" s="218" t="s">
        <v>170</v>
      </c>
      <c r="Y5" s="218" t="s">
        <v>171</v>
      </c>
      <c r="Z5" s="222" t="s">
        <v>172</v>
      </c>
      <c r="AA5" s="219" t="s">
        <v>253</v>
      </c>
      <c r="AB5" s="220"/>
      <c r="AC5" s="221" t="s">
        <v>254</v>
      </c>
      <c r="AD5" s="222" t="s">
        <v>255</v>
      </c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</row>
    <row r="6" spans="1:45" s="81" customFormat="1" x14ac:dyDescent="0.25">
      <c r="A6" s="217"/>
      <c r="B6" s="217"/>
      <c r="C6" s="217"/>
      <c r="D6" s="217"/>
      <c r="E6" s="218"/>
      <c r="F6" s="218"/>
      <c r="G6" s="145" t="s">
        <v>173</v>
      </c>
      <c r="H6" s="145" t="s">
        <v>174</v>
      </c>
      <c r="I6" s="218"/>
      <c r="J6" s="145" t="s">
        <v>175</v>
      </c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22"/>
      <c r="AA6" s="153" t="s">
        <v>173</v>
      </c>
      <c r="AB6" s="153" t="s">
        <v>174</v>
      </c>
      <c r="AC6" s="221"/>
      <c r="AD6" s="222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</row>
    <row r="7" spans="1:45" s="100" customFormat="1" x14ac:dyDescent="0.25">
      <c r="A7" s="86" t="s">
        <v>185</v>
      </c>
      <c r="B7" s="86" t="s">
        <v>190</v>
      </c>
      <c r="C7" s="87" t="s">
        <v>43</v>
      </c>
      <c r="D7" s="86" t="s">
        <v>187</v>
      </c>
      <c r="E7" s="86"/>
      <c r="F7" s="86"/>
      <c r="G7" s="89">
        <v>511.28</v>
      </c>
      <c r="H7" s="89">
        <v>1822.03</v>
      </c>
      <c r="I7" s="89">
        <f t="shared" ref="I7:I37" si="0">+G7+H7</f>
        <v>2333.31</v>
      </c>
      <c r="J7" s="154">
        <v>2351.39</v>
      </c>
      <c r="K7" s="92"/>
      <c r="L7" s="92"/>
      <c r="M7" s="93"/>
      <c r="N7" s="94">
        <f t="shared" ref="N7:N37" si="1">SUM(I7:L7)-M7</f>
        <v>4684.7</v>
      </c>
      <c r="O7" s="95"/>
      <c r="P7" s="96"/>
      <c r="Q7" s="96"/>
      <c r="R7" s="91"/>
      <c r="S7" s="89">
        <v>0</v>
      </c>
      <c r="T7" s="94">
        <f t="shared" ref="T7:T37" si="2">+N7-SUM(O7:S7)</f>
        <v>4684.7</v>
      </c>
      <c r="U7" s="97">
        <f t="shared" ref="U7:U37" si="3">IF(N7&gt;4500,N7*0.1,0)</f>
        <v>468.47</v>
      </c>
      <c r="V7" s="94">
        <f t="shared" ref="V7:V37" si="4">+T7-U7</f>
        <v>4216.2299999999996</v>
      </c>
      <c r="W7" s="98">
        <f t="shared" ref="W7:W37" si="5">IF(N7&lt;4500,N7*0.1,0)</f>
        <v>0</v>
      </c>
      <c r="X7" s="97">
        <f t="shared" ref="X7:X37" si="6">G7*0.02</f>
        <v>10.2256</v>
      </c>
      <c r="Y7" s="94">
        <f t="shared" ref="Y7:Y37" si="7">+N7+W7+X7</f>
        <v>4694.9255999999996</v>
      </c>
      <c r="Z7" s="99"/>
      <c r="AA7" s="23"/>
      <c r="AB7" s="23"/>
      <c r="AC7" s="155">
        <f>+AA7+AB7-V7</f>
        <v>-4216.2299999999996</v>
      </c>
      <c r="AD7" s="99" t="s">
        <v>256</v>
      </c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</row>
    <row r="8" spans="1:45" x14ac:dyDescent="0.25">
      <c r="A8" s="86" t="s">
        <v>185</v>
      </c>
      <c r="B8" s="86" t="s">
        <v>191</v>
      </c>
      <c r="C8" s="87" t="s">
        <v>44</v>
      </c>
      <c r="D8" s="86" t="s">
        <v>47</v>
      </c>
      <c r="E8" s="86"/>
      <c r="F8" s="86"/>
      <c r="G8" s="89">
        <v>511.28</v>
      </c>
      <c r="H8" s="89">
        <v>0</v>
      </c>
      <c r="I8" s="89">
        <f t="shared" si="0"/>
        <v>511.28</v>
      </c>
      <c r="J8" s="156">
        <v>1236.0999999999999</v>
      </c>
      <c r="K8" s="91"/>
      <c r="L8" s="91"/>
      <c r="M8" s="93"/>
      <c r="N8" s="94">
        <f t="shared" si="1"/>
        <v>1747.3799999999999</v>
      </c>
      <c r="O8" s="95"/>
      <c r="P8" s="96"/>
      <c r="Q8" s="96"/>
      <c r="R8" s="91"/>
      <c r="S8" s="89">
        <v>0</v>
      </c>
      <c r="T8" s="94">
        <f t="shared" si="2"/>
        <v>1747.3799999999999</v>
      </c>
      <c r="U8" s="97">
        <f t="shared" si="3"/>
        <v>0</v>
      </c>
      <c r="V8" s="94">
        <f t="shared" si="4"/>
        <v>1747.3799999999999</v>
      </c>
      <c r="W8" s="98">
        <f t="shared" si="5"/>
        <v>174.738</v>
      </c>
      <c r="X8" s="97">
        <f t="shared" si="6"/>
        <v>10.2256</v>
      </c>
      <c r="Y8" s="94">
        <f t="shared" si="7"/>
        <v>1932.3435999999999</v>
      </c>
      <c r="Z8" s="99"/>
      <c r="AA8" s="23"/>
      <c r="AB8" s="23"/>
      <c r="AC8" s="155">
        <f t="shared" ref="AC8:AC37" si="8">+AA8+AB8-V8</f>
        <v>-1747.3799999999999</v>
      </c>
      <c r="AD8" s="99" t="s">
        <v>257</v>
      </c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</row>
    <row r="9" spans="1:45" x14ac:dyDescent="0.25">
      <c r="A9" s="86" t="s">
        <v>185</v>
      </c>
      <c r="B9" s="86" t="s">
        <v>189</v>
      </c>
      <c r="C9" s="87" t="s">
        <v>40</v>
      </c>
      <c r="D9" s="86" t="s">
        <v>47</v>
      </c>
      <c r="E9" s="86"/>
      <c r="F9" s="86"/>
      <c r="G9" s="89">
        <v>511.28</v>
      </c>
      <c r="H9" s="89">
        <v>0</v>
      </c>
      <c r="I9" s="89">
        <f t="shared" si="0"/>
        <v>511.28</v>
      </c>
      <c r="J9" s="157">
        <v>50.58</v>
      </c>
      <c r="K9" s="91"/>
      <c r="L9" s="91"/>
      <c r="M9" s="93"/>
      <c r="N9" s="94">
        <f t="shared" si="1"/>
        <v>561.86</v>
      </c>
      <c r="O9" s="95"/>
      <c r="P9" s="96"/>
      <c r="Q9" s="96"/>
      <c r="R9" s="91"/>
      <c r="S9" s="89">
        <v>134.46</v>
      </c>
      <c r="T9" s="94">
        <f t="shared" si="2"/>
        <v>427.4</v>
      </c>
      <c r="U9" s="97">
        <f t="shared" si="3"/>
        <v>0</v>
      </c>
      <c r="V9" s="94">
        <f t="shared" si="4"/>
        <v>427.4</v>
      </c>
      <c r="W9" s="98">
        <f t="shared" si="5"/>
        <v>56.186000000000007</v>
      </c>
      <c r="X9" s="97">
        <f t="shared" si="6"/>
        <v>10.2256</v>
      </c>
      <c r="Y9" s="94">
        <f t="shared" si="7"/>
        <v>628.27160000000003</v>
      </c>
      <c r="Z9" s="99"/>
      <c r="AA9" s="23"/>
      <c r="AB9" s="23"/>
      <c r="AC9" s="155">
        <f t="shared" si="8"/>
        <v>-427.4</v>
      </c>
      <c r="AD9" s="99" t="s">
        <v>258</v>
      </c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</row>
    <row r="10" spans="1:45" x14ac:dyDescent="0.25">
      <c r="A10" s="86" t="s">
        <v>180</v>
      </c>
      <c r="B10" s="104" t="s">
        <v>214</v>
      </c>
      <c r="C10" s="87"/>
      <c r="D10" s="86" t="s">
        <v>47</v>
      </c>
      <c r="E10" s="88"/>
      <c r="F10" s="88"/>
      <c r="G10" s="89">
        <v>511.28</v>
      </c>
      <c r="H10" s="89">
        <v>188.72000000000003</v>
      </c>
      <c r="I10" s="89">
        <f t="shared" si="0"/>
        <v>700</v>
      </c>
      <c r="J10" s="91"/>
      <c r="K10" s="92"/>
      <c r="L10" s="92"/>
      <c r="M10" s="93"/>
      <c r="N10" s="94">
        <f t="shared" si="1"/>
        <v>700</v>
      </c>
      <c r="O10" s="95"/>
      <c r="P10" s="96"/>
      <c r="Q10" s="96"/>
      <c r="R10" s="91"/>
      <c r="S10" s="89"/>
      <c r="T10" s="94">
        <f t="shared" si="2"/>
        <v>700</v>
      </c>
      <c r="U10" s="97">
        <f t="shared" si="3"/>
        <v>0</v>
      </c>
      <c r="V10" s="94">
        <f t="shared" si="4"/>
        <v>700</v>
      </c>
      <c r="W10" s="98">
        <f t="shared" si="5"/>
        <v>70</v>
      </c>
      <c r="X10" s="97">
        <f t="shared" si="6"/>
        <v>10.2256</v>
      </c>
      <c r="Y10" s="94">
        <f t="shared" si="7"/>
        <v>780.22559999999999</v>
      </c>
      <c r="Z10" s="99"/>
      <c r="AA10" s="23"/>
      <c r="AB10" s="23"/>
      <c r="AC10" s="155">
        <f t="shared" si="8"/>
        <v>-700</v>
      </c>
      <c r="AD10" s="158">
        <v>2858200513</v>
      </c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</row>
    <row r="11" spans="1:45" x14ac:dyDescent="0.25">
      <c r="A11" s="86" t="s">
        <v>176</v>
      </c>
      <c r="B11" s="86" t="s">
        <v>34</v>
      </c>
      <c r="C11" s="87" t="s">
        <v>35</v>
      </c>
      <c r="D11" s="86" t="s">
        <v>45</v>
      </c>
      <c r="E11" s="88"/>
      <c r="F11" s="88"/>
      <c r="G11" s="89">
        <v>511.28</v>
      </c>
      <c r="H11" s="90">
        <v>1238.72</v>
      </c>
      <c r="I11" s="89">
        <f t="shared" si="0"/>
        <v>1750</v>
      </c>
      <c r="J11" s="91"/>
      <c r="K11" s="92"/>
      <c r="L11" s="92"/>
      <c r="M11" s="93"/>
      <c r="N11" s="94">
        <f t="shared" si="1"/>
        <v>1750</v>
      </c>
      <c r="O11" s="95"/>
      <c r="P11" s="96"/>
      <c r="Q11" s="96"/>
      <c r="R11" s="91"/>
      <c r="S11" s="89">
        <v>0</v>
      </c>
      <c r="T11" s="94">
        <f t="shared" si="2"/>
        <v>1750</v>
      </c>
      <c r="U11" s="97">
        <f t="shared" si="3"/>
        <v>0</v>
      </c>
      <c r="V11" s="94">
        <f t="shared" si="4"/>
        <v>1750</v>
      </c>
      <c r="W11" s="98">
        <f t="shared" si="5"/>
        <v>175</v>
      </c>
      <c r="X11" s="97">
        <f t="shared" si="6"/>
        <v>10.2256</v>
      </c>
      <c r="Y11" s="94">
        <f t="shared" si="7"/>
        <v>1935.2256</v>
      </c>
      <c r="Z11" s="99"/>
      <c r="AA11" s="23"/>
      <c r="AB11" s="23"/>
      <c r="AC11" s="155">
        <f t="shared" si="8"/>
        <v>-1750</v>
      </c>
      <c r="AD11" s="99" t="s">
        <v>259</v>
      </c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</row>
    <row r="12" spans="1:45" x14ac:dyDescent="0.25">
      <c r="A12" s="86" t="s">
        <v>180</v>
      </c>
      <c r="B12" s="86" t="s">
        <v>181</v>
      </c>
      <c r="C12" s="87" t="s">
        <v>48</v>
      </c>
      <c r="D12" s="86" t="s">
        <v>47</v>
      </c>
      <c r="E12" s="86"/>
      <c r="F12" s="86"/>
      <c r="G12" s="89">
        <v>511.28</v>
      </c>
      <c r="H12" s="89">
        <v>0</v>
      </c>
      <c r="I12" s="89">
        <f t="shared" si="0"/>
        <v>511.28</v>
      </c>
      <c r="J12" s="91"/>
      <c r="K12" s="91"/>
      <c r="L12" s="91"/>
      <c r="M12" s="93"/>
      <c r="N12" s="94">
        <f t="shared" si="1"/>
        <v>511.28</v>
      </c>
      <c r="O12" s="95"/>
      <c r="P12" s="96"/>
      <c r="Q12" s="96"/>
      <c r="R12" s="91"/>
      <c r="S12" s="89">
        <f>+N12*0.25</f>
        <v>127.82</v>
      </c>
      <c r="T12" s="94">
        <f t="shared" si="2"/>
        <v>383.46</v>
      </c>
      <c r="U12" s="97">
        <f t="shared" si="3"/>
        <v>0</v>
      </c>
      <c r="V12" s="94">
        <f t="shared" si="4"/>
        <v>383.46</v>
      </c>
      <c r="W12" s="98">
        <f t="shared" si="5"/>
        <v>51.128</v>
      </c>
      <c r="X12" s="97">
        <f t="shared" si="6"/>
        <v>10.2256</v>
      </c>
      <c r="Y12" s="94">
        <f t="shared" si="7"/>
        <v>572.6336</v>
      </c>
      <c r="Z12" s="99" t="s">
        <v>260</v>
      </c>
      <c r="AA12" s="23"/>
      <c r="AB12" s="23"/>
      <c r="AC12" s="155">
        <f t="shared" si="8"/>
        <v>-383.46</v>
      </c>
      <c r="AD12" s="99" t="s">
        <v>261</v>
      </c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</row>
    <row r="13" spans="1:45" x14ac:dyDescent="0.25">
      <c r="A13" s="86" t="s">
        <v>185</v>
      </c>
      <c r="B13" s="86" t="s">
        <v>192</v>
      </c>
      <c r="C13" s="87" t="s">
        <v>49</v>
      </c>
      <c r="D13" s="86" t="s">
        <v>47</v>
      </c>
      <c r="E13" s="86"/>
      <c r="F13" s="86"/>
      <c r="G13" s="89">
        <v>511.28</v>
      </c>
      <c r="H13" s="89">
        <v>188.72000000000003</v>
      </c>
      <c r="I13" s="89">
        <f t="shared" si="0"/>
        <v>700</v>
      </c>
      <c r="J13" s="156">
        <v>7078.84</v>
      </c>
      <c r="K13" s="91"/>
      <c r="L13" s="91"/>
      <c r="M13" s="93"/>
      <c r="N13" s="94">
        <f t="shared" si="1"/>
        <v>7778.84</v>
      </c>
      <c r="O13" s="95"/>
      <c r="P13" s="96"/>
      <c r="Q13" s="96"/>
      <c r="R13" s="91"/>
      <c r="S13" s="89">
        <v>323.13</v>
      </c>
      <c r="T13" s="94">
        <f t="shared" si="2"/>
        <v>7455.71</v>
      </c>
      <c r="U13" s="97">
        <f t="shared" si="3"/>
        <v>777.88400000000001</v>
      </c>
      <c r="V13" s="94">
        <f t="shared" si="4"/>
        <v>6677.826</v>
      </c>
      <c r="W13" s="98">
        <f t="shared" si="5"/>
        <v>0</v>
      </c>
      <c r="X13" s="97">
        <f t="shared" si="6"/>
        <v>10.2256</v>
      </c>
      <c r="Y13" s="94">
        <f t="shared" si="7"/>
        <v>7789.0655999999999</v>
      </c>
      <c r="Z13" s="99"/>
      <c r="AA13" s="159"/>
      <c r="AB13" s="159"/>
      <c r="AC13" s="155">
        <f t="shared" si="8"/>
        <v>-6677.826</v>
      </c>
      <c r="AD13" s="99" t="s">
        <v>262</v>
      </c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</row>
    <row r="14" spans="1:45" x14ac:dyDescent="0.25">
      <c r="A14" s="86" t="s">
        <v>180</v>
      </c>
      <c r="B14" s="23" t="s">
        <v>263</v>
      </c>
      <c r="C14" s="133"/>
      <c r="D14" s="104" t="s">
        <v>47</v>
      </c>
      <c r="E14" s="104"/>
      <c r="F14" s="104"/>
      <c r="G14" s="134">
        <v>511.28</v>
      </c>
      <c r="H14" s="134"/>
      <c r="I14" s="134">
        <f t="shared" si="0"/>
        <v>511.28</v>
      </c>
      <c r="J14" s="156">
        <f>624.44+511.28</f>
        <v>1135.72</v>
      </c>
      <c r="K14" s="91"/>
      <c r="L14" s="91"/>
      <c r="M14" s="93"/>
      <c r="N14" s="94">
        <f t="shared" si="1"/>
        <v>1647</v>
      </c>
      <c r="O14" s="95"/>
      <c r="P14" s="96"/>
      <c r="Q14" s="96"/>
      <c r="R14" s="91"/>
      <c r="S14" s="89"/>
      <c r="T14" s="94">
        <f t="shared" si="2"/>
        <v>1647</v>
      </c>
      <c r="U14" s="97">
        <f t="shared" si="3"/>
        <v>0</v>
      </c>
      <c r="V14" s="94">
        <f t="shared" si="4"/>
        <v>1647</v>
      </c>
      <c r="W14" s="98">
        <f t="shared" si="5"/>
        <v>164.70000000000002</v>
      </c>
      <c r="X14" s="97">
        <f t="shared" si="6"/>
        <v>10.2256</v>
      </c>
      <c r="Y14" s="94">
        <f t="shared" si="7"/>
        <v>1821.9256</v>
      </c>
      <c r="Z14" s="99"/>
      <c r="AA14" s="159"/>
      <c r="AB14" s="159"/>
      <c r="AC14" s="155">
        <f t="shared" si="8"/>
        <v>-1647</v>
      </c>
      <c r="AD14" s="158">
        <v>1449517286</v>
      </c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</row>
    <row r="15" spans="1:45" x14ac:dyDescent="0.25">
      <c r="A15" s="86" t="s">
        <v>185</v>
      </c>
      <c r="B15" s="104" t="s">
        <v>186</v>
      </c>
      <c r="C15" s="133">
        <v>5</v>
      </c>
      <c r="D15" s="104" t="s">
        <v>187</v>
      </c>
      <c r="E15" s="104"/>
      <c r="F15" s="104"/>
      <c r="G15" s="134">
        <v>511.28</v>
      </c>
      <c r="H15" s="90">
        <v>1122.05</v>
      </c>
      <c r="I15" s="134">
        <f t="shared" si="0"/>
        <v>1633.33</v>
      </c>
      <c r="J15" s="156">
        <v>40802.559999999998</v>
      </c>
      <c r="K15" s="103"/>
      <c r="L15" s="92"/>
      <c r="M15" s="93"/>
      <c r="N15" s="94">
        <f t="shared" si="1"/>
        <v>42435.89</v>
      </c>
      <c r="O15" s="95"/>
      <c r="P15" s="96"/>
      <c r="Q15" s="96"/>
      <c r="R15" s="91"/>
      <c r="S15" s="89">
        <v>0</v>
      </c>
      <c r="T15" s="94">
        <f t="shared" si="2"/>
        <v>42435.89</v>
      </c>
      <c r="U15" s="97">
        <f t="shared" si="3"/>
        <v>4243.5889999999999</v>
      </c>
      <c r="V15" s="94">
        <f t="shared" si="4"/>
        <v>38192.300999999999</v>
      </c>
      <c r="W15" s="98">
        <f t="shared" si="5"/>
        <v>0</v>
      </c>
      <c r="X15" s="97">
        <f t="shared" si="6"/>
        <v>10.2256</v>
      </c>
      <c r="Y15" s="94">
        <f t="shared" si="7"/>
        <v>42446.115599999997</v>
      </c>
      <c r="Z15" s="99"/>
      <c r="AA15" s="23"/>
      <c r="AB15" s="23"/>
      <c r="AC15" s="155">
        <f t="shared" si="8"/>
        <v>-38192.300999999999</v>
      </c>
      <c r="AD15" s="99" t="s">
        <v>264</v>
      </c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</row>
    <row r="16" spans="1:45" x14ac:dyDescent="0.25">
      <c r="A16" s="86" t="s">
        <v>185</v>
      </c>
      <c r="B16" s="86" t="s">
        <v>193</v>
      </c>
      <c r="C16" s="87" t="s">
        <v>50</v>
      </c>
      <c r="D16" s="86" t="s">
        <v>47</v>
      </c>
      <c r="E16" s="86"/>
      <c r="F16" s="86"/>
      <c r="G16" s="89">
        <v>511.28</v>
      </c>
      <c r="H16" s="89">
        <v>0</v>
      </c>
      <c r="I16" s="89">
        <f t="shared" si="0"/>
        <v>511.28</v>
      </c>
      <c r="J16" s="91"/>
      <c r="K16" s="91"/>
      <c r="L16" s="91"/>
      <c r="M16" s="93"/>
      <c r="N16" s="94">
        <f t="shared" si="1"/>
        <v>511.28</v>
      </c>
      <c r="O16" s="95"/>
      <c r="P16" s="96"/>
      <c r="Q16" s="96"/>
      <c r="R16" s="91"/>
      <c r="S16" s="89">
        <v>0</v>
      </c>
      <c r="T16" s="94">
        <f t="shared" si="2"/>
        <v>511.28</v>
      </c>
      <c r="U16" s="97">
        <f t="shared" si="3"/>
        <v>0</v>
      </c>
      <c r="V16" s="94">
        <f t="shared" si="4"/>
        <v>511.28</v>
      </c>
      <c r="W16" s="98">
        <f t="shared" si="5"/>
        <v>51.128</v>
      </c>
      <c r="X16" s="97">
        <f t="shared" si="6"/>
        <v>10.2256</v>
      </c>
      <c r="Y16" s="94">
        <f t="shared" si="7"/>
        <v>572.6336</v>
      </c>
      <c r="Z16" s="99"/>
      <c r="AA16" s="23"/>
      <c r="AB16" s="23"/>
      <c r="AC16" s="155">
        <f t="shared" si="8"/>
        <v>-511.28</v>
      </c>
      <c r="AD16" s="99" t="s">
        <v>265</v>
      </c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</row>
    <row r="17" spans="1:45" x14ac:dyDescent="0.25">
      <c r="A17" s="86" t="s">
        <v>177</v>
      </c>
      <c r="B17" s="86" t="s">
        <v>179</v>
      </c>
      <c r="C17" s="87" t="s">
        <v>37</v>
      </c>
      <c r="D17" s="86" t="s">
        <v>46</v>
      </c>
      <c r="E17" s="86"/>
      <c r="F17" s="86"/>
      <c r="G17" s="89">
        <v>511.28</v>
      </c>
      <c r="H17" s="89">
        <v>655.38000000000011</v>
      </c>
      <c r="I17" s="89">
        <f t="shared" si="0"/>
        <v>1166.6600000000001</v>
      </c>
      <c r="J17" s="154">
        <v>2254.73</v>
      </c>
      <c r="K17" s="91"/>
      <c r="L17" s="91"/>
      <c r="M17" s="93"/>
      <c r="N17" s="94">
        <f t="shared" si="1"/>
        <v>3421.3900000000003</v>
      </c>
      <c r="O17" s="95"/>
      <c r="P17" s="96"/>
      <c r="Q17" s="96"/>
      <c r="R17" s="91"/>
      <c r="S17" s="89">
        <v>498.65</v>
      </c>
      <c r="T17" s="94">
        <f t="shared" si="2"/>
        <v>2922.7400000000002</v>
      </c>
      <c r="U17" s="97">
        <f t="shared" si="3"/>
        <v>0</v>
      </c>
      <c r="V17" s="94">
        <f t="shared" si="4"/>
        <v>2922.7400000000002</v>
      </c>
      <c r="W17" s="98">
        <f t="shared" si="5"/>
        <v>342.13900000000007</v>
      </c>
      <c r="X17" s="97">
        <f t="shared" si="6"/>
        <v>10.2256</v>
      </c>
      <c r="Y17" s="94">
        <f t="shared" si="7"/>
        <v>3773.7546000000007</v>
      </c>
      <c r="Z17" s="99"/>
      <c r="AA17" s="23"/>
      <c r="AB17" s="23"/>
      <c r="AC17" s="155">
        <f t="shared" si="8"/>
        <v>-2922.7400000000002</v>
      </c>
      <c r="AD17" s="99" t="s">
        <v>266</v>
      </c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</row>
    <row r="18" spans="1:45" s="99" customFormat="1" x14ac:dyDescent="0.25">
      <c r="A18" s="104" t="s">
        <v>185</v>
      </c>
      <c r="B18" s="104" t="s">
        <v>203</v>
      </c>
      <c r="C18" s="133"/>
      <c r="D18" s="104" t="s">
        <v>47</v>
      </c>
      <c r="E18" s="104"/>
      <c r="F18" s="104"/>
      <c r="G18" s="134">
        <v>700</v>
      </c>
      <c r="H18" s="134">
        <v>0</v>
      </c>
      <c r="I18" s="134">
        <f t="shared" si="0"/>
        <v>700</v>
      </c>
      <c r="J18" s="135"/>
      <c r="K18" s="135"/>
      <c r="L18" s="135"/>
      <c r="M18" s="136"/>
      <c r="N18" s="94">
        <f t="shared" si="1"/>
        <v>700</v>
      </c>
      <c r="O18" s="95"/>
      <c r="P18" s="96"/>
      <c r="Q18" s="96"/>
      <c r="R18" s="91"/>
      <c r="S18" s="89"/>
      <c r="T18" s="94">
        <f t="shared" si="2"/>
        <v>700</v>
      </c>
      <c r="U18" s="97">
        <f t="shared" si="3"/>
        <v>0</v>
      </c>
      <c r="V18" s="94">
        <f t="shared" si="4"/>
        <v>700</v>
      </c>
      <c r="W18" s="98">
        <f t="shared" si="5"/>
        <v>70</v>
      </c>
      <c r="X18" s="97">
        <f t="shared" si="6"/>
        <v>14</v>
      </c>
      <c r="Y18" s="94">
        <f t="shared" si="7"/>
        <v>784</v>
      </c>
      <c r="AA18" s="23"/>
      <c r="AB18" s="23"/>
      <c r="AC18" s="155">
        <f t="shared" si="8"/>
        <v>-700</v>
      </c>
      <c r="AD18" s="158">
        <v>2778164622</v>
      </c>
      <c r="AE18" s="99" t="s">
        <v>267</v>
      </c>
    </row>
    <row r="19" spans="1:45" x14ac:dyDescent="0.25">
      <c r="A19" s="86" t="s">
        <v>185</v>
      </c>
      <c r="B19" s="86" t="s">
        <v>188</v>
      </c>
      <c r="C19" s="87">
        <v>10</v>
      </c>
      <c r="D19" s="86" t="s">
        <v>187</v>
      </c>
      <c r="E19" s="86"/>
      <c r="F19" s="88"/>
      <c r="G19" s="89">
        <v>511.28</v>
      </c>
      <c r="H19" s="90">
        <v>1122.05</v>
      </c>
      <c r="I19" s="89">
        <f t="shared" si="0"/>
        <v>1633.33</v>
      </c>
      <c r="J19" s="154">
        <v>74729.33</v>
      </c>
      <c r="K19" s="92"/>
      <c r="L19" s="92"/>
      <c r="M19" s="93"/>
      <c r="N19" s="94">
        <f t="shared" si="1"/>
        <v>76362.66</v>
      </c>
      <c r="O19" s="95"/>
      <c r="P19" s="96"/>
      <c r="Q19" s="96"/>
      <c r="R19" s="91">
        <v>524.16999999999996</v>
      </c>
      <c r="S19" s="89">
        <v>144.03</v>
      </c>
      <c r="T19" s="94">
        <f t="shared" si="2"/>
        <v>75694.460000000006</v>
      </c>
      <c r="U19" s="97">
        <f t="shared" si="3"/>
        <v>7636.2660000000005</v>
      </c>
      <c r="V19" s="94">
        <f t="shared" si="4"/>
        <v>68058.194000000003</v>
      </c>
      <c r="W19" s="98">
        <f t="shared" si="5"/>
        <v>0</v>
      </c>
      <c r="X19" s="97">
        <f t="shared" si="6"/>
        <v>10.2256</v>
      </c>
      <c r="Y19" s="94">
        <f t="shared" si="7"/>
        <v>76372.885600000009</v>
      </c>
      <c r="Z19" s="99"/>
      <c r="AA19" s="23"/>
      <c r="AB19" s="23"/>
      <c r="AC19" s="155">
        <f t="shared" si="8"/>
        <v>-68058.194000000003</v>
      </c>
      <c r="AD19" s="99" t="s">
        <v>268</v>
      </c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</row>
    <row r="20" spans="1:45" x14ac:dyDescent="0.25">
      <c r="A20" s="86" t="s">
        <v>185</v>
      </c>
      <c r="B20" s="86" t="s">
        <v>196</v>
      </c>
      <c r="C20" s="87" t="s">
        <v>54</v>
      </c>
      <c r="D20" s="86" t="s">
        <v>47</v>
      </c>
      <c r="E20" s="88"/>
      <c r="F20" s="88"/>
      <c r="G20" s="89">
        <v>577.35</v>
      </c>
      <c r="H20" s="90"/>
      <c r="I20" s="89">
        <f t="shared" si="0"/>
        <v>577.35</v>
      </c>
      <c r="J20" s="156">
        <v>12414.92</v>
      </c>
      <c r="K20" s="92"/>
      <c r="L20" s="92"/>
      <c r="M20" s="93"/>
      <c r="N20" s="94">
        <f t="shared" si="1"/>
        <v>12992.27</v>
      </c>
      <c r="O20" s="95"/>
      <c r="P20" s="96"/>
      <c r="Q20" s="96"/>
      <c r="R20" s="91"/>
      <c r="S20" s="89">
        <v>0</v>
      </c>
      <c r="T20" s="94">
        <f t="shared" si="2"/>
        <v>12992.27</v>
      </c>
      <c r="U20" s="97">
        <f t="shared" si="3"/>
        <v>1299.2270000000001</v>
      </c>
      <c r="V20" s="94">
        <f t="shared" si="4"/>
        <v>11693.043</v>
      </c>
      <c r="W20" s="98">
        <f t="shared" si="5"/>
        <v>0</v>
      </c>
      <c r="X20" s="97">
        <f t="shared" si="6"/>
        <v>11.547000000000001</v>
      </c>
      <c r="Y20" s="94">
        <f t="shared" si="7"/>
        <v>13003.817000000001</v>
      </c>
      <c r="Z20" s="99"/>
      <c r="AA20" s="23"/>
      <c r="AB20" s="23"/>
      <c r="AC20" s="155">
        <f t="shared" si="8"/>
        <v>-11693.043</v>
      </c>
      <c r="AD20" s="99" t="s">
        <v>269</v>
      </c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</row>
    <row r="21" spans="1:45" x14ac:dyDescent="0.25">
      <c r="A21" s="86" t="s">
        <v>185</v>
      </c>
      <c r="B21" s="86" t="s">
        <v>194</v>
      </c>
      <c r="C21" s="87" t="s">
        <v>52</v>
      </c>
      <c r="D21" s="86" t="s">
        <v>47</v>
      </c>
      <c r="E21" s="88"/>
      <c r="F21" s="88"/>
      <c r="G21" s="89">
        <v>511.28</v>
      </c>
      <c r="H21" s="90">
        <v>0</v>
      </c>
      <c r="I21" s="89">
        <f t="shared" si="0"/>
        <v>511.28</v>
      </c>
      <c r="J21" s="157">
        <v>10059.98</v>
      </c>
      <c r="K21" s="92"/>
      <c r="L21" s="92"/>
      <c r="M21" s="93"/>
      <c r="N21" s="94">
        <f t="shared" si="1"/>
        <v>10571.26</v>
      </c>
      <c r="O21" s="95"/>
      <c r="P21" s="96"/>
      <c r="Q21" s="96"/>
      <c r="R21" s="91"/>
      <c r="S21" s="89">
        <v>0</v>
      </c>
      <c r="T21" s="94">
        <f t="shared" si="2"/>
        <v>10571.26</v>
      </c>
      <c r="U21" s="97">
        <f t="shared" si="3"/>
        <v>1057.126</v>
      </c>
      <c r="V21" s="94">
        <f t="shared" si="4"/>
        <v>9514.134</v>
      </c>
      <c r="W21" s="98">
        <f t="shared" si="5"/>
        <v>0</v>
      </c>
      <c r="X21" s="97">
        <f t="shared" si="6"/>
        <v>10.2256</v>
      </c>
      <c r="Y21" s="94">
        <f t="shared" si="7"/>
        <v>10581.4856</v>
      </c>
      <c r="Z21" s="99"/>
      <c r="AA21" s="23"/>
      <c r="AB21" s="23"/>
      <c r="AC21" s="155">
        <f t="shared" si="8"/>
        <v>-9514.134</v>
      </c>
      <c r="AD21" s="99" t="s">
        <v>270</v>
      </c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</row>
    <row r="22" spans="1:45" x14ac:dyDescent="0.25">
      <c r="A22" s="86" t="s">
        <v>185</v>
      </c>
      <c r="B22" s="86" t="s">
        <v>271</v>
      </c>
      <c r="C22" s="87" t="s">
        <v>53</v>
      </c>
      <c r="D22" s="86" t="s">
        <v>47</v>
      </c>
      <c r="E22" s="86"/>
      <c r="F22" s="86"/>
      <c r="G22" s="89">
        <v>511.28</v>
      </c>
      <c r="H22" s="89">
        <v>0</v>
      </c>
      <c r="I22" s="89">
        <f t="shared" si="0"/>
        <v>511.28</v>
      </c>
      <c r="J22" s="91"/>
      <c r="K22" s="91"/>
      <c r="L22" s="91"/>
      <c r="M22" s="93"/>
      <c r="N22" s="94">
        <f t="shared" si="1"/>
        <v>511.28</v>
      </c>
      <c r="O22" s="95"/>
      <c r="P22" s="96"/>
      <c r="Q22" s="96"/>
      <c r="R22" s="91"/>
      <c r="S22" s="89">
        <v>0</v>
      </c>
      <c r="T22" s="94">
        <f t="shared" si="2"/>
        <v>511.28</v>
      </c>
      <c r="U22" s="97">
        <f t="shared" si="3"/>
        <v>0</v>
      </c>
      <c r="V22" s="94">
        <f t="shared" si="4"/>
        <v>511.28</v>
      </c>
      <c r="W22" s="98">
        <f t="shared" si="5"/>
        <v>51.128</v>
      </c>
      <c r="X22" s="97">
        <f t="shared" si="6"/>
        <v>10.2256</v>
      </c>
      <c r="Y22" s="94">
        <f t="shared" si="7"/>
        <v>572.6336</v>
      </c>
      <c r="Z22" s="99"/>
      <c r="AA22" s="23"/>
      <c r="AB22" s="23"/>
      <c r="AC22" s="155">
        <f t="shared" si="8"/>
        <v>-511.28</v>
      </c>
      <c r="AD22" s="99" t="s">
        <v>272</v>
      </c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</row>
    <row r="23" spans="1:45" x14ac:dyDescent="0.25">
      <c r="A23" s="86" t="s">
        <v>180</v>
      </c>
      <c r="B23" s="86" t="s">
        <v>182</v>
      </c>
      <c r="C23" s="87" t="s">
        <v>51</v>
      </c>
      <c r="D23" s="86" t="s">
        <v>47</v>
      </c>
      <c r="E23" s="86"/>
      <c r="F23" s="86"/>
      <c r="G23" s="89">
        <v>577.35</v>
      </c>
      <c r="H23" s="89">
        <v>0</v>
      </c>
      <c r="I23" s="89">
        <f t="shared" si="0"/>
        <v>577.35</v>
      </c>
      <c r="J23" s="91"/>
      <c r="K23" s="91"/>
      <c r="L23" s="91"/>
      <c r="M23" s="93"/>
      <c r="N23" s="94">
        <f t="shared" si="1"/>
        <v>577.35</v>
      </c>
      <c r="O23" s="95"/>
      <c r="P23" s="96"/>
      <c r="Q23" s="96"/>
      <c r="R23" s="91"/>
      <c r="S23" s="89">
        <v>115.26</v>
      </c>
      <c r="T23" s="94">
        <f t="shared" si="2"/>
        <v>462.09000000000003</v>
      </c>
      <c r="U23" s="97">
        <f t="shared" si="3"/>
        <v>0</v>
      </c>
      <c r="V23" s="94">
        <f t="shared" si="4"/>
        <v>462.09000000000003</v>
      </c>
      <c r="W23" s="98">
        <f t="shared" si="5"/>
        <v>57.735000000000007</v>
      </c>
      <c r="X23" s="97">
        <f t="shared" si="6"/>
        <v>11.547000000000001</v>
      </c>
      <c r="Y23" s="94">
        <f t="shared" si="7"/>
        <v>646.63200000000006</v>
      </c>
      <c r="Z23" s="99"/>
      <c r="AA23" s="23"/>
      <c r="AB23" s="23"/>
      <c r="AC23" s="155">
        <f t="shared" si="8"/>
        <v>-462.09000000000003</v>
      </c>
      <c r="AD23" s="99" t="s">
        <v>273</v>
      </c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</row>
    <row r="24" spans="1:45" s="100" customFormat="1" x14ac:dyDescent="0.25">
      <c r="A24" s="86" t="s">
        <v>177</v>
      </c>
      <c r="B24" s="86" t="s">
        <v>178</v>
      </c>
      <c r="C24" s="87">
        <v>21</v>
      </c>
      <c r="D24" s="86" t="s">
        <v>46</v>
      </c>
      <c r="E24" s="86"/>
      <c r="F24" s="86"/>
      <c r="G24" s="89">
        <v>511.28</v>
      </c>
      <c r="H24" s="89">
        <v>655.38000000000011</v>
      </c>
      <c r="I24" s="89">
        <f t="shared" si="0"/>
        <v>1166.6600000000001</v>
      </c>
      <c r="J24" s="154">
        <v>1759.78</v>
      </c>
      <c r="K24" s="91"/>
      <c r="L24" s="91"/>
      <c r="M24" s="93"/>
      <c r="N24" s="94">
        <f t="shared" si="1"/>
        <v>2926.44</v>
      </c>
      <c r="O24" s="95"/>
      <c r="P24" s="96"/>
      <c r="Q24" s="96"/>
      <c r="R24" s="91"/>
      <c r="S24" s="89">
        <v>89.36</v>
      </c>
      <c r="T24" s="94">
        <f t="shared" si="2"/>
        <v>2837.08</v>
      </c>
      <c r="U24" s="97">
        <f t="shared" si="3"/>
        <v>0</v>
      </c>
      <c r="V24" s="94">
        <f t="shared" si="4"/>
        <v>2837.08</v>
      </c>
      <c r="W24" s="98">
        <f t="shared" si="5"/>
        <v>292.64400000000001</v>
      </c>
      <c r="X24" s="97">
        <f t="shared" si="6"/>
        <v>10.2256</v>
      </c>
      <c r="Y24" s="94">
        <f t="shared" si="7"/>
        <v>3229.3096</v>
      </c>
      <c r="Z24" s="99"/>
      <c r="AA24" s="23"/>
      <c r="AB24" s="23"/>
      <c r="AC24" s="155">
        <f t="shared" si="8"/>
        <v>-2837.08</v>
      </c>
      <c r="AD24" s="99" t="s">
        <v>274</v>
      </c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</row>
    <row r="25" spans="1:45" x14ac:dyDescent="0.25">
      <c r="A25" s="86" t="s">
        <v>185</v>
      </c>
      <c r="B25" s="86" t="s">
        <v>198</v>
      </c>
      <c r="C25" s="87" t="s">
        <v>56</v>
      </c>
      <c r="D25" s="86" t="s">
        <v>47</v>
      </c>
      <c r="E25" s="86"/>
      <c r="F25" s="86"/>
      <c r="G25" s="89">
        <v>511.28</v>
      </c>
      <c r="H25" s="89">
        <v>0</v>
      </c>
      <c r="I25" s="89">
        <f t="shared" si="0"/>
        <v>511.28</v>
      </c>
      <c r="J25" s="156">
        <f>13789.72+2000</f>
        <v>15789.72</v>
      </c>
      <c r="K25" s="91"/>
      <c r="L25" s="91"/>
      <c r="M25" s="93"/>
      <c r="N25" s="94">
        <f t="shared" si="1"/>
        <v>16301</v>
      </c>
      <c r="O25" s="95"/>
      <c r="P25" s="96"/>
      <c r="Q25" s="96"/>
      <c r="R25" s="91"/>
      <c r="S25" s="89">
        <v>0</v>
      </c>
      <c r="T25" s="94">
        <f t="shared" si="2"/>
        <v>16301</v>
      </c>
      <c r="U25" s="97">
        <f t="shared" si="3"/>
        <v>1630.1000000000001</v>
      </c>
      <c r="V25" s="94">
        <f t="shared" si="4"/>
        <v>14670.9</v>
      </c>
      <c r="W25" s="98">
        <f t="shared" si="5"/>
        <v>0</v>
      </c>
      <c r="X25" s="97">
        <f t="shared" si="6"/>
        <v>10.2256</v>
      </c>
      <c r="Y25" s="94">
        <f t="shared" si="7"/>
        <v>16311.2256</v>
      </c>
      <c r="Z25" s="99"/>
      <c r="AA25" s="23"/>
      <c r="AB25" s="23"/>
      <c r="AC25" s="155">
        <f t="shared" si="8"/>
        <v>-14670.9</v>
      </c>
      <c r="AD25" s="99" t="s">
        <v>275</v>
      </c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</row>
    <row r="26" spans="1:45" x14ac:dyDescent="0.25">
      <c r="A26" s="86" t="s">
        <v>185</v>
      </c>
      <c r="B26" s="86" t="s">
        <v>197</v>
      </c>
      <c r="C26" s="87" t="s">
        <v>55</v>
      </c>
      <c r="D26" s="86" t="s">
        <v>47</v>
      </c>
      <c r="E26" s="86"/>
      <c r="F26" s="86"/>
      <c r="G26" s="89">
        <v>511.28</v>
      </c>
      <c r="H26" s="89">
        <v>73.039999999999964</v>
      </c>
      <c r="I26" s="89">
        <f t="shared" si="0"/>
        <v>584.31999999999994</v>
      </c>
      <c r="J26" s="156">
        <v>22264.880000000001</v>
      </c>
      <c r="K26" s="91"/>
      <c r="L26" s="91"/>
      <c r="M26" s="93"/>
      <c r="N26" s="94">
        <f t="shared" si="1"/>
        <v>22849.200000000001</v>
      </c>
      <c r="O26" s="95"/>
      <c r="P26" s="96"/>
      <c r="Q26" s="96"/>
      <c r="R26" s="91"/>
      <c r="S26" s="89">
        <v>0</v>
      </c>
      <c r="T26" s="94">
        <f t="shared" si="2"/>
        <v>22849.200000000001</v>
      </c>
      <c r="U26" s="97">
        <f t="shared" si="3"/>
        <v>2284.92</v>
      </c>
      <c r="V26" s="94">
        <f t="shared" si="4"/>
        <v>20564.28</v>
      </c>
      <c r="W26" s="98">
        <f t="shared" si="5"/>
        <v>0</v>
      </c>
      <c r="X26" s="97">
        <f t="shared" si="6"/>
        <v>10.2256</v>
      </c>
      <c r="Y26" s="94">
        <f t="shared" si="7"/>
        <v>22859.425600000002</v>
      </c>
      <c r="Z26" s="99"/>
      <c r="AA26" s="23"/>
      <c r="AB26" s="23"/>
      <c r="AC26" s="155">
        <f t="shared" si="8"/>
        <v>-20564.28</v>
      </c>
      <c r="AD26" s="99" t="s">
        <v>276</v>
      </c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</row>
    <row r="27" spans="1:45" s="166" customFormat="1" x14ac:dyDescent="0.25">
      <c r="A27" s="102" t="s">
        <v>185</v>
      </c>
      <c r="B27" s="102" t="s">
        <v>277</v>
      </c>
      <c r="C27" s="160"/>
      <c r="D27" s="102" t="s">
        <v>47</v>
      </c>
      <c r="E27" s="102"/>
      <c r="F27" s="102"/>
      <c r="G27" s="161">
        <v>511.28</v>
      </c>
      <c r="H27" s="161">
        <v>188.72000000000003</v>
      </c>
      <c r="I27" s="161">
        <f t="shared" si="0"/>
        <v>700</v>
      </c>
      <c r="J27" s="162"/>
      <c r="K27" s="162"/>
      <c r="L27" s="162"/>
      <c r="M27" s="163"/>
      <c r="N27" s="164">
        <f t="shared" si="1"/>
        <v>700</v>
      </c>
      <c r="O27" s="162"/>
      <c r="P27" s="165"/>
      <c r="Q27" s="165"/>
      <c r="R27" s="162"/>
      <c r="S27" s="161"/>
      <c r="T27" s="164">
        <f t="shared" si="2"/>
        <v>700</v>
      </c>
      <c r="U27" s="165">
        <f t="shared" si="3"/>
        <v>0</v>
      </c>
      <c r="V27" s="164">
        <f t="shared" si="4"/>
        <v>700</v>
      </c>
      <c r="W27" s="165">
        <f t="shared" si="5"/>
        <v>70</v>
      </c>
      <c r="X27" s="165">
        <f t="shared" si="6"/>
        <v>10.2256</v>
      </c>
      <c r="Y27" s="164">
        <f t="shared" si="7"/>
        <v>780.22559999999999</v>
      </c>
      <c r="Z27" s="166" t="s">
        <v>278</v>
      </c>
      <c r="AA27" s="159"/>
      <c r="AB27" s="159"/>
      <c r="AC27" s="167">
        <f t="shared" si="8"/>
        <v>-700</v>
      </c>
      <c r="AE27" s="166" t="s">
        <v>279</v>
      </c>
    </row>
    <row r="28" spans="1:45" s="100" customFormat="1" x14ac:dyDescent="0.25">
      <c r="A28" s="86" t="s">
        <v>177</v>
      </c>
      <c r="B28" s="86" t="s">
        <v>112</v>
      </c>
      <c r="C28" s="87" t="s">
        <v>38</v>
      </c>
      <c r="D28" s="86" t="s">
        <v>46</v>
      </c>
      <c r="E28" s="86"/>
      <c r="F28" s="86"/>
      <c r="G28" s="89">
        <v>511.28</v>
      </c>
      <c r="H28" s="89">
        <v>655.3900000000001</v>
      </c>
      <c r="I28" s="89">
        <f t="shared" si="0"/>
        <v>1166.67</v>
      </c>
      <c r="J28" s="154">
        <v>1679.26</v>
      </c>
      <c r="K28" s="91"/>
      <c r="L28" s="91"/>
      <c r="M28" s="93"/>
      <c r="N28" s="94">
        <f t="shared" si="1"/>
        <v>2845.9300000000003</v>
      </c>
      <c r="O28" s="95"/>
      <c r="P28" s="96"/>
      <c r="Q28" s="96"/>
      <c r="R28" s="91"/>
      <c r="S28" s="89">
        <v>0</v>
      </c>
      <c r="T28" s="94">
        <f t="shared" si="2"/>
        <v>2845.9300000000003</v>
      </c>
      <c r="U28" s="97">
        <f t="shared" si="3"/>
        <v>0</v>
      </c>
      <c r="V28" s="94">
        <f t="shared" si="4"/>
        <v>2845.9300000000003</v>
      </c>
      <c r="W28" s="98">
        <f t="shared" si="5"/>
        <v>284.59300000000002</v>
      </c>
      <c r="X28" s="97">
        <f t="shared" si="6"/>
        <v>10.2256</v>
      </c>
      <c r="Y28" s="94">
        <f t="shared" si="7"/>
        <v>3140.7486000000004</v>
      </c>
      <c r="Z28" s="99"/>
      <c r="AA28" s="23"/>
      <c r="AB28" s="23"/>
      <c r="AC28" s="155">
        <f t="shared" si="8"/>
        <v>-2845.9300000000003</v>
      </c>
      <c r="AD28" s="99" t="s">
        <v>280</v>
      </c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</row>
    <row r="29" spans="1:45" s="100" customFormat="1" x14ac:dyDescent="0.25">
      <c r="A29" s="86" t="s">
        <v>185</v>
      </c>
      <c r="B29" s="86" t="s">
        <v>32</v>
      </c>
      <c r="C29" s="87" t="s">
        <v>58</v>
      </c>
      <c r="D29" s="86" t="s">
        <v>47</v>
      </c>
      <c r="E29" s="86"/>
      <c r="F29" s="86"/>
      <c r="G29" s="89">
        <v>511.28</v>
      </c>
      <c r="H29" s="89">
        <v>188.72000000000003</v>
      </c>
      <c r="I29" s="89">
        <f t="shared" si="0"/>
        <v>700</v>
      </c>
      <c r="J29" s="157">
        <v>15193.39</v>
      </c>
      <c r="K29" s="91"/>
      <c r="L29" s="91"/>
      <c r="M29" s="93"/>
      <c r="N29" s="94">
        <f t="shared" si="1"/>
        <v>15893.39</v>
      </c>
      <c r="O29" s="95"/>
      <c r="P29" s="96"/>
      <c r="Q29" s="96"/>
      <c r="R29" s="91"/>
      <c r="S29" s="89">
        <v>0</v>
      </c>
      <c r="T29" s="94">
        <f t="shared" si="2"/>
        <v>15893.39</v>
      </c>
      <c r="U29" s="97">
        <f t="shared" si="3"/>
        <v>1589.3389999999999</v>
      </c>
      <c r="V29" s="94">
        <f t="shared" si="4"/>
        <v>14304.050999999999</v>
      </c>
      <c r="W29" s="98">
        <f t="shared" si="5"/>
        <v>0</v>
      </c>
      <c r="X29" s="97">
        <f t="shared" si="6"/>
        <v>10.2256</v>
      </c>
      <c r="Y29" s="94">
        <f t="shared" si="7"/>
        <v>15903.615599999999</v>
      </c>
      <c r="Z29" s="99"/>
      <c r="AA29" s="23"/>
      <c r="AB29" s="23"/>
      <c r="AC29" s="155">
        <f t="shared" si="8"/>
        <v>-14304.050999999999</v>
      </c>
      <c r="AD29" s="99" t="s">
        <v>281</v>
      </c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</row>
    <row r="30" spans="1:45" s="166" customFormat="1" x14ac:dyDescent="0.25">
      <c r="A30" s="102" t="s">
        <v>185</v>
      </c>
      <c r="B30" s="102" t="s">
        <v>282</v>
      </c>
      <c r="C30" s="160"/>
      <c r="D30" s="102" t="s">
        <v>47</v>
      </c>
      <c r="E30" s="102"/>
      <c r="F30" s="102"/>
      <c r="G30" s="161">
        <v>511.28</v>
      </c>
      <c r="H30" s="161">
        <v>188.72000000000003</v>
      </c>
      <c r="I30" s="161">
        <f t="shared" si="0"/>
        <v>700</v>
      </c>
      <c r="J30" s="162"/>
      <c r="K30" s="162"/>
      <c r="L30" s="162"/>
      <c r="M30" s="163"/>
      <c r="N30" s="164">
        <f t="shared" si="1"/>
        <v>700</v>
      </c>
      <c r="O30" s="162"/>
      <c r="P30" s="165"/>
      <c r="Q30" s="165"/>
      <c r="R30" s="162"/>
      <c r="S30" s="161"/>
      <c r="T30" s="164">
        <f t="shared" si="2"/>
        <v>700</v>
      </c>
      <c r="U30" s="165">
        <f t="shared" si="3"/>
        <v>0</v>
      </c>
      <c r="V30" s="164">
        <f t="shared" si="4"/>
        <v>700</v>
      </c>
      <c r="W30" s="165">
        <f t="shared" si="5"/>
        <v>70</v>
      </c>
      <c r="X30" s="165">
        <f t="shared" si="6"/>
        <v>10.2256</v>
      </c>
      <c r="Y30" s="164">
        <f t="shared" si="7"/>
        <v>780.22559999999999</v>
      </c>
      <c r="Z30" s="166" t="s">
        <v>278</v>
      </c>
      <c r="AA30" s="159"/>
      <c r="AB30" s="159"/>
      <c r="AC30" s="167">
        <f t="shared" si="8"/>
        <v>-700</v>
      </c>
      <c r="AD30" s="168">
        <v>27213723165</v>
      </c>
    </row>
    <row r="31" spans="1:45" x14ac:dyDescent="0.25">
      <c r="A31" s="86" t="s">
        <v>185</v>
      </c>
      <c r="B31" s="86" t="s">
        <v>199</v>
      </c>
      <c r="C31" s="87" t="s">
        <v>59</v>
      </c>
      <c r="D31" s="86" t="s">
        <v>47</v>
      </c>
      <c r="E31" s="86"/>
      <c r="F31" s="86"/>
      <c r="G31" s="89">
        <v>511.28</v>
      </c>
      <c r="H31" s="89">
        <v>188.72000000000003</v>
      </c>
      <c r="I31" s="89">
        <f t="shared" si="0"/>
        <v>700</v>
      </c>
      <c r="J31" s="91"/>
      <c r="K31" s="91"/>
      <c r="L31" s="91"/>
      <c r="M31" s="93"/>
      <c r="N31" s="94">
        <f t="shared" si="1"/>
        <v>700</v>
      </c>
      <c r="O31" s="95"/>
      <c r="P31" s="96"/>
      <c r="Q31" s="96"/>
      <c r="R31" s="91"/>
      <c r="S31" s="89">
        <v>0</v>
      </c>
      <c r="T31" s="94">
        <f t="shared" si="2"/>
        <v>700</v>
      </c>
      <c r="U31" s="97">
        <f t="shared" si="3"/>
        <v>0</v>
      </c>
      <c r="V31" s="94">
        <f t="shared" si="4"/>
        <v>700</v>
      </c>
      <c r="W31" s="98">
        <f t="shared" si="5"/>
        <v>70</v>
      </c>
      <c r="X31" s="97">
        <f t="shared" si="6"/>
        <v>10.2256</v>
      </c>
      <c r="Y31" s="94">
        <f t="shared" si="7"/>
        <v>780.22559999999999</v>
      </c>
      <c r="Z31" s="99"/>
      <c r="AA31" s="23"/>
      <c r="AB31" s="23"/>
      <c r="AC31" s="155">
        <f t="shared" si="8"/>
        <v>-700</v>
      </c>
      <c r="AD31" s="99" t="s">
        <v>283</v>
      </c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</row>
    <row r="32" spans="1:45" x14ac:dyDescent="0.25">
      <c r="A32" s="86" t="s">
        <v>185</v>
      </c>
      <c r="B32" s="86" t="s">
        <v>61</v>
      </c>
      <c r="C32" s="87" t="s">
        <v>60</v>
      </c>
      <c r="D32" s="86" t="s">
        <v>47</v>
      </c>
      <c r="E32" s="88"/>
      <c r="F32" s="88"/>
      <c r="G32" s="89">
        <v>511.28</v>
      </c>
      <c r="H32" s="90">
        <v>0</v>
      </c>
      <c r="I32" s="89">
        <f t="shared" si="0"/>
        <v>511.28</v>
      </c>
      <c r="J32" s="169">
        <v>1710.63</v>
      </c>
      <c r="K32" s="92"/>
      <c r="L32" s="92"/>
      <c r="M32" s="93"/>
      <c r="N32" s="94">
        <f t="shared" si="1"/>
        <v>2221.91</v>
      </c>
      <c r="O32" s="95"/>
      <c r="P32" s="96"/>
      <c r="Q32" s="96"/>
      <c r="R32" s="91"/>
      <c r="S32" s="89">
        <v>0</v>
      </c>
      <c r="T32" s="94">
        <f t="shared" si="2"/>
        <v>2221.91</v>
      </c>
      <c r="U32" s="97">
        <f t="shared" si="3"/>
        <v>0</v>
      </c>
      <c r="V32" s="94">
        <f t="shared" si="4"/>
        <v>2221.91</v>
      </c>
      <c r="W32" s="98">
        <f t="shared" si="5"/>
        <v>222.191</v>
      </c>
      <c r="X32" s="97">
        <f t="shared" si="6"/>
        <v>10.2256</v>
      </c>
      <c r="Y32" s="94">
        <f t="shared" si="7"/>
        <v>2454.3265999999999</v>
      </c>
      <c r="Z32" s="99"/>
      <c r="AA32" s="23"/>
      <c r="AB32" s="23"/>
      <c r="AC32" s="155">
        <f t="shared" si="8"/>
        <v>-2221.91</v>
      </c>
      <c r="AD32" s="99" t="s">
        <v>284</v>
      </c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</row>
    <row r="33" spans="1:45" x14ac:dyDescent="0.25">
      <c r="A33" s="86" t="s">
        <v>180</v>
      </c>
      <c r="B33" s="86" t="s">
        <v>183</v>
      </c>
      <c r="C33" s="87" t="s">
        <v>62</v>
      </c>
      <c r="D33" s="86" t="s">
        <v>47</v>
      </c>
      <c r="E33" s="86"/>
      <c r="F33" s="86"/>
      <c r="G33" s="89">
        <v>511.28</v>
      </c>
      <c r="H33" s="89">
        <v>0</v>
      </c>
      <c r="I33" s="89">
        <f t="shared" si="0"/>
        <v>511.28</v>
      </c>
      <c r="J33" s="156">
        <f>1316.33+2000</f>
        <v>3316.33</v>
      </c>
      <c r="K33" s="91"/>
      <c r="L33" s="91"/>
      <c r="M33" s="93"/>
      <c r="N33" s="94">
        <f t="shared" si="1"/>
        <v>3827.6099999999997</v>
      </c>
      <c r="O33" s="95"/>
      <c r="P33" s="96"/>
      <c r="Q33" s="96"/>
      <c r="R33" s="91"/>
      <c r="S33" s="89">
        <v>0</v>
      </c>
      <c r="T33" s="94">
        <f t="shared" si="2"/>
        <v>3827.6099999999997</v>
      </c>
      <c r="U33" s="97">
        <f t="shared" si="3"/>
        <v>0</v>
      </c>
      <c r="V33" s="94">
        <f t="shared" si="4"/>
        <v>3827.6099999999997</v>
      </c>
      <c r="W33" s="98">
        <f t="shared" si="5"/>
        <v>382.76099999999997</v>
      </c>
      <c r="X33" s="97">
        <f t="shared" si="6"/>
        <v>10.2256</v>
      </c>
      <c r="Y33" s="94">
        <f t="shared" si="7"/>
        <v>4220.5965999999989</v>
      </c>
      <c r="Z33" s="99"/>
      <c r="AA33" s="23"/>
      <c r="AB33" s="23"/>
      <c r="AC33" s="155">
        <f t="shared" si="8"/>
        <v>-3827.6099999999997</v>
      </c>
      <c r="AD33" s="99" t="s">
        <v>285</v>
      </c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</row>
    <row r="34" spans="1:45" x14ac:dyDescent="0.25">
      <c r="A34" s="86" t="s">
        <v>180</v>
      </c>
      <c r="B34" s="86" t="s">
        <v>184</v>
      </c>
      <c r="C34" s="87" t="s">
        <v>39</v>
      </c>
      <c r="D34" s="86" t="s">
        <v>47</v>
      </c>
      <c r="E34" s="86"/>
      <c r="F34" s="86"/>
      <c r="G34" s="89">
        <v>511.28</v>
      </c>
      <c r="H34" s="89">
        <v>0</v>
      </c>
      <c r="I34" s="89">
        <f t="shared" si="0"/>
        <v>511.28</v>
      </c>
      <c r="J34" s="91"/>
      <c r="K34" s="91"/>
      <c r="L34" s="91"/>
      <c r="M34" s="93"/>
      <c r="N34" s="94">
        <f t="shared" si="1"/>
        <v>511.28</v>
      </c>
      <c r="O34" s="95"/>
      <c r="P34" s="96"/>
      <c r="Q34" s="96"/>
      <c r="R34" s="91"/>
      <c r="S34" s="89">
        <v>134.6</v>
      </c>
      <c r="T34" s="94">
        <f t="shared" si="2"/>
        <v>376.67999999999995</v>
      </c>
      <c r="U34" s="97">
        <f t="shared" si="3"/>
        <v>0</v>
      </c>
      <c r="V34" s="94">
        <f t="shared" si="4"/>
        <v>376.67999999999995</v>
      </c>
      <c r="W34" s="98">
        <f t="shared" si="5"/>
        <v>51.128</v>
      </c>
      <c r="X34" s="97">
        <f t="shared" si="6"/>
        <v>10.2256</v>
      </c>
      <c r="Y34" s="94">
        <f t="shared" si="7"/>
        <v>572.6336</v>
      </c>
      <c r="Z34" s="99"/>
      <c r="AA34" s="23"/>
      <c r="AB34" s="23"/>
      <c r="AC34" s="155">
        <f t="shared" si="8"/>
        <v>-376.67999999999995</v>
      </c>
      <c r="AD34" s="99" t="s">
        <v>286</v>
      </c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</row>
    <row r="35" spans="1:45" x14ac:dyDescent="0.25">
      <c r="A35" s="86" t="s">
        <v>185</v>
      </c>
      <c r="B35" s="86" t="s">
        <v>200</v>
      </c>
      <c r="C35" s="87" t="s">
        <v>63</v>
      </c>
      <c r="D35" s="86" t="s">
        <v>47</v>
      </c>
      <c r="E35" s="86"/>
      <c r="F35" s="86"/>
      <c r="G35" s="89">
        <v>0</v>
      </c>
      <c r="H35" s="89">
        <v>8193.94</v>
      </c>
      <c r="I35" s="89">
        <f t="shared" si="0"/>
        <v>8193.94</v>
      </c>
      <c r="J35" s="156"/>
      <c r="K35" s="91"/>
      <c r="L35" s="91"/>
      <c r="M35" s="93"/>
      <c r="N35" s="94">
        <f t="shared" si="1"/>
        <v>8193.94</v>
      </c>
      <c r="O35" s="95"/>
      <c r="P35" s="96"/>
      <c r="Q35" s="96"/>
      <c r="R35" s="91"/>
      <c r="S35" s="89">
        <v>1148.7</v>
      </c>
      <c r="T35" s="94">
        <f t="shared" si="2"/>
        <v>7045.2400000000007</v>
      </c>
      <c r="U35" s="97">
        <f t="shared" si="3"/>
        <v>819.39400000000012</v>
      </c>
      <c r="V35" s="94">
        <f t="shared" si="4"/>
        <v>6225.8460000000005</v>
      </c>
      <c r="W35" s="98">
        <f t="shared" si="5"/>
        <v>0</v>
      </c>
      <c r="X35" s="97">
        <f t="shared" si="6"/>
        <v>0</v>
      </c>
      <c r="Y35" s="94">
        <f t="shared" si="7"/>
        <v>8193.94</v>
      </c>
      <c r="Z35" s="166" t="s">
        <v>287</v>
      </c>
      <c r="AA35" s="159"/>
      <c r="AB35" s="159"/>
      <c r="AC35" s="155">
        <f t="shared" si="8"/>
        <v>-6225.8460000000005</v>
      </c>
      <c r="AD35" s="99" t="s">
        <v>288</v>
      </c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</row>
    <row r="36" spans="1:45" x14ac:dyDescent="0.25">
      <c r="A36" s="86" t="s">
        <v>185</v>
      </c>
      <c r="B36" s="104" t="s">
        <v>202</v>
      </c>
      <c r="C36" s="87"/>
      <c r="D36" s="86" t="s">
        <v>47</v>
      </c>
      <c r="E36" s="88"/>
      <c r="F36" s="88"/>
      <c r="G36" s="89">
        <v>511.28</v>
      </c>
      <c r="H36" s="89">
        <v>188.72000000000003</v>
      </c>
      <c r="I36" s="89">
        <f t="shared" si="0"/>
        <v>700</v>
      </c>
      <c r="J36" s="91"/>
      <c r="K36" s="92"/>
      <c r="L36" s="92"/>
      <c r="M36" s="93"/>
      <c r="N36" s="94">
        <f t="shared" si="1"/>
        <v>700</v>
      </c>
      <c r="O36" s="95"/>
      <c r="P36" s="96"/>
      <c r="Q36" s="96"/>
      <c r="R36" s="91"/>
      <c r="S36" s="89"/>
      <c r="T36" s="94">
        <f t="shared" si="2"/>
        <v>700</v>
      </c>
      <c r="U36" s="97">
        <f t="shared" si="3"/>
        <v>0</v>
      </c>
      <c r="V36" s="94">
        <f t="shared" si="4"/>
        <v>700</v>
      </c>
      <c r="W36" s="98">
        <f t="shared" si="5"/>
        <v>70</v>
      </c>
      <c r="X36" s="97">
        <f t="shared" si="6"/>
        <v>10.2256</v>
      </c>
      <c r="Y36" s="94">
        <f t="shared" si="7"/>
        <v>780.22559999999999</v>
      </c>
      <c r="Z36" s="99"/>
      <c r="AA36" s="23"/>
      <c r="AB36" s="23"/>
      <c r="AC36" s="155">
        <f t="shared" si="8"/>
        <v>-700</v>
      </c>
      <c r="AD36" s="158">
        <v>2973111075</v>
      </c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</row>
    <row r="37" spans="1:45" x14ac:dyDescent="0.25">
      <c r="A37" s="86" t="s">
        <v>185</v>
      </c>
      <c r="B37" s="86" t="s">
        <v>201</v>
      </c>
      <c r="C37" s="87" t="s">
        <v>64</v>
      </c>
      <c r="D37" s="86" t="s">
        <v>47</v>
      </c>
      <c r="E37" s="88"/>
      <c r="F37" s="88"/>
      <c r="G37" s="89">
        <f>511.28+66.07</f>
        <v>577.34999999999991</v>
      </c>
      <c r="H37" s="90">
        <v>0</v>
      </c>
      <c r="I37" s="89">
        <f t="shared" si="0"/>
        <v>577.34999999999991</v>
      </c>
      <c r="J37" s="91"/>
      <c r="K37" s="92"/>
      <c r="L37" s="92"/>
      <c r="M37" s="93"/>
      <c r="N37" s="94">
        <f t="shared" si="1"/>
        <v>577.34999999999991</v>
      </c>
      <c r="O37" s="95"/>
      <c r="P37" s="96"/>
      <c r="Q37" s="96"/>
      <c r="R37" s="91"/>
      <c r="S37" s="89">
        <v>0</v>
      </c>
      <c r="T37" s="94">
        <f t="shared" si="2"/>
        <v>577.34999999999991</v>
      </c>
      <c r="U37" s="97">
        <f t="shared" si="3"/>
        <v>0</v>
      </c>
      <c r="V37" s="94">
        <f t="shared" si="4"/>
        <v>577.34999999999991</v>
      </c>
      <c r="W37" s="98">
        <f t="shared" si="5"/>
        <v>57.734999999999992</v>
      </c>
      <c r="X37" s="97">
        <f t="shared" si="6"/>
        <v>11.546999999999999</v>
      </c>
      <c r="Y37" s="94">
        <f t="shared" si="7"/>
        <v>646.63199999999995</v>
      </c>
      <c r="Z37" s="99"/>
      <c r="AA37" s="23"/>
      <c r="AB37" s="23"/>
      <c r="AC37" s="155">
        <f t="shared" si="8"/>
        <v>-577.34999999999991</v>
      </c>
      <c r="AD37" s="99" t="s">
        <v>289</v>
      </c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</row>
    <row r="38" spans="1:45" x14ac:dyDescent="0.25">
      <c r="A38" s="86"/>
      <c r="B38" s="86"/>
      <c r="C38" s="87"/>
      <c r="D38" s="86"/>
      <c r="E38" s="88"/>
      <c r="F38" s="88"/>
      <c r="G38" s="89"/>
      <c r="H38" s="90"/>
      <c r="I38" s="89"/>
      <c r="J38" s="91"/>
      <c r="K38" s="92"/>
      <c r="L38" s="92"/>
      <c r="M38" s="93"/>
      <c r="N38" s="94"/>
      <c r="O38" s="95"/>
      <c r="P38" s="96"/>
      <c r="Q38" s="96"/>
      <c r="R38" s="91"/>
      <c r="S38" s="89"/>
      <c r="T38" s="94"/>
      <c r="U38" s="97"/>
      <c r="V38" s="94"/>
      <c r="W38" s="98"/>
      <c r="X38" s="97"/>
      <c r="Y38" s="94"/>
      <c r="Z38" s="99"/>
      <c r="AA38" s="23"/>
      <c r="AB38" s="23"/>
      <c r="AC38" s="155">
        <f t="shared" ref="AC38:AC45" si="9">+Z38-AA38-AB38</f>
        <v>0</v>
      </c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</row>
    <row r="39" spans="1:45" x14ac:dyDescent="0.25">
      <c r="A39" s="105"/>
      <c r="B39" s="86"/>
      <c r="C39" s="88"/>
      <c r="D39" s="86"/>
      <c r="E39" s="86"/>
      <c r="F39" s="86"/>
      <c r="G39" s="86"/>
      <c r="H39" s="86"/>
      <c r="I39" s="91"/>
      <c r="J39" s="91"/>
      <c r="K39" s="91"/>
      <c r="L39" s="91"/>
      <c r="M39" s="93"/>
      <c r="N39" s="94"/>
      <c r="O39" s="95"/>
      <c r="P39" s="96"/>
      <c r="Q39" s="96"/>
      <c r="R39" s="91"/>
      <c r="S39" s="89"/>
      <c r="T39" s="94"/>
      <c r="U39" s="97"/>
      <c r="V39" s="94"/>
      <c r="W39" s="98"/>
      <c r="X39" s="97"/>
      <c r="Y39" s="94"/>
      <c r="Z39" s="99"/>
      <c r="AA39" s="23"/>
      <c r="AB39" s="23"/>
      <c r="AC39" s="155">
        <f t="shared" si="9"/>
        <v>0</v>
      </c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</row>
    <row r="40" spans="1:45" x14ac:dyDescent="0.25">
      <c r="A40" s="105"/>
      <c r="B40" s="86"/>
      <c r="C40" s="88"/>
      <c r="D40" s="86"/>
      <c r="E40" s="86"/>
      <c r="F40" s="86"/>
      <c r="G40" s="86"/>
      <c r="H40" s="86"/>
      <c r="I40" s="91"/>
      <c r="J40" s="91"/>
      <c r="K40" s="91"/>
      <c r="L40" s="91"/>
      <c r="M40" s="93"/>
      <c r="N40" s="94"/>
      <c r="O40" s="95"/>
      <c r="P40" s="96"/>
      <c r="Q40" s="96"/>
      <c r="R40" s="97"/>
      <c r="S40" s="97"/>
      <c r="T40" s="94"/>
      <c r="U40" s="97"/>
      <c r="V40" s="94"/>
      <c r="W40" s="98"/>
      <c r="X40" s="97"/>
      <c r="Y40" s="94"/>
      <c r="Z40" s="99"/>
      <c r="AA40" s="23"/>
      <c r="AB40" s="23"/>
      <c r="AC40" s="155">
        <f t="shared" si="9"/>
        <v>0</v>
      </c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</row>
    <row r="41" spans="1:45" s="99" customFormat="1" x14ac:dyDescent="0.25">
      <c r="A41" s="105"/>
      <c r="B41" s="106"/>
      <c r="C41" s="106"/>
      <c r="D41" s="106"/>
      <c r="E41" s="106"/>
      <c r="F41" s="106"/>
      <c r="G41" s="106"/>
      <c r="H41" s="106"/>
      <c r="I41" s="107"/>
      <c r="J41" s="107"/>
      <c r="K41" s="107"/>
      <c r="L41" s="107"/>
      <c r="M41" s="107"/>
      <c r="N41" s="108"/>
      <c r="O41" s="107"/>
      <c r="P41" s="97"/>
      <c r="Q41" s="97"/>
      <c r="R41" s="97"/>
      <c r="S41" s="97"/>
      <c r="T41" s="109"/>
      <c r="U41" s="97"/>
      <c r="V41" s="108"/>
      <c r="W41" s="97"/>
      <c r="X41" s="97"/>
      <c r="Y41" s="108"/>
      <c r="AA41" s="23"/>
      <c r="AB41" s="23"/>
      <c r="AC41" s="155">
        <f t="shared" si="9"/>
        <v>0</v>
      </c>
    </row>
    <row r="42" spans="1:45" ht="16.5" thickBot="1" x14ac:dyDescent="0.3">
      <c r="B42" s="110" t="s">
        <v>204</v>
      </c>
      <c r="C42" s="110"/>
      <c r="D42" s="110"/>
      <c r="E42" s="110"/>
      <c r="F42" s="110"/>
      <c r="G42" s="110"/>
      <c r="H42" s="110"/>
      <c r="I42" s="111">
        <f>SUM(I7:I32)</f>
        <v>22090.5</v>
      </c>
      <c r="J42" s="111"/>
      <c r="K42" s="111">
        <f t="shared" ref="K42:T42" si="10">SUM(K7:K32)</f>
        <v>0</v>
      </c>
      <c r="L42" s="111">
        <f t="shared" si="10"/>
        <v>0</v>
      </c>
      <c r="M42" s="111">
        <f t="shared" si="10"/>
        <v>0</v>
      </c>
      <c r="N42" s="111">
        <f t="shared" si="10"/>
        <v>232602.31000000003</v>
      </c>
      <c r="O42" s="111">
        <f t="shared" si="10"/>
        <v>0</v>
      </c>
      <c r="P42" s="111">
        <f t="shared" si="10"/>
        <v>0</v>
      </c>
      <c r="Q42" s="111">
        <f t="shared" si="10"/>
        <v>0</v>
      </c>
      <c r="R42" s="111">
        <f t="shared" si="10"/>
        <v>524.16999999999996</v>
      </c>
      <c r="S42" s="111">
        <f t="shared" si="10"/>
        <v>1432.7099999999998</v>
      </c>
      <c r="T42" s="111">
        <f t="shared" si="10"/>
        <v>230645.42999999996</v>
      </c>
      <c r="U42" s="111">
        <f>SUBTOTAL(9,U5:U41)</f>
        <v>21806.315000000002</v>
      </c>
      <c r="V42" s="111">
        <f>SUM(V7:V32)</f>
        <v>209658.50899999996</v>
      </c>
      <c r="W42" s="111">
        <f>SUM(W7:W32)</f>
        <v>2273.31</v>
      </c>
      <c r="X42" s="111">
        <f>SUM(X7:X32)</f>
        <v>272.2827999999999</v>
      </c>
      <c r="Y42" s="111">
        <f>SUBTOTAL(9,Y5:Y41)</f>
        <v>249561.93060000005</v>
      </c>
      <c r="AA42" s="23"/>
      <c r="AB42" s="23"/>
      <c r="AC42" s="155">
        <f t="shared" si="9"/>
        <v>0</v>
      </c>
      <c r="AD42" s="99"/>
    </row>
    <row r="43" spans="1:45" ht="16.5" thickTop="1" x14ac:dyDescent="0.25">
      <c r="Y43" s="83">
        <f>Y42*0.16</f>
        <v>39929.908896000008</v>
      </c>
      <c r="AA43" s="23"/>
      <c r="AB43" s="23"/>
      <c r="AC43" s="155">
        <f t="shared" si="9"/>
        <v>0</v>
      </c>
      <c r="AD43" s="99"/>
    </row>
    <row r="44" spans="1:45" x14ac:dyDescent="0.25">
      <c r="A44" s="223" t="s">
        <v>205</v>
      </c>
      <c r="B44" s="223"/>
      <c r="U44" s="82">
        <f>+U42-U43</f>
        <v>21806.315000000002</v>
      </c>
      <c r="Y44" s="83">
        <f>+Y42+Y43</f>
        <v>289491.83949600009</v>
      </c>
      <c r="Z44" s="170">
        <v>112981.14</v>
      </c>
      <c r="AA44" s="23"/>
      <c r="AB44" s="23"/>
      <c r="AC44" s="155">
        <f t="shared" si="9"/>
        <v>112981.14</v>
      </c>
    </row>
    <row r="45" spans="1:45" x14ac:dyDescent="0.25">
      <c r="A45" s="105"/>
      <c r="B45" s="86"/>
      <c r="C45" s="88"/>
      <c r="D45" s="86"/>
      <c r="E45" s="86"/>
      <c r="F45" s="86"/>
      <c r="G45" s="86"/>
      <c r="H45" s="86"/>
      <c r="I45" s="91"/>
      <c r="J45" s="91"/>
      <c r="K45" s="91"/>
      <c r="L45" s="91"/>
      <c r="M45" s="91"/>
      <c r="N45" s="94">
        <f>SUM(I45:M45)</f>
        <v>0</v>
      </c>
      <c r="O45" s="95"/>
      <c r="P45" s="96"/>
      <c r="Q45" s="96"/>
      <c r="R45" s="96"/>
      <c r="S45" s="96"/>
      <c r="T45" s="94">
        <f>+N45-O45</f>
        <v>0</v>
      </c>
      <c r="U45" s="97">
        <f>+T45*0.05</f>
        <v>0</v>
      </c>
      <c r="V45" s="94">
        <f>+T45-P45-S45</f>
        <v>0</v>
      </c>
      <c r="W45" s="98">
        <f>IF(T45&lt;3000,T45*0.1,0)</f>
        <v>0</v>
      </c>
      <c r="X45" s="97">
        <v>0</v>
      </c>
      <c r="Y45" s="94">
        <f>+T45+W45+X45</f>
        <v>0</v>
      </c>
      <c r="AA45" s="23"/>
      <c r="AB45" s="23"/>
      <c r="AC45" s="155">
        <f t="shared" si="9"/>
        <v>0</v>
      </c>
    </row>
    <row r="46" spans="1:45" x14ac:dyDescent="0.25">
      <c r="A46" s="105"/>
      <c r="B46" s="88"/>
      <c r="C46" s="88"/>
      <c r="D46" s="88"/>
      <c r="E46" s="88"/>
      <c r="F46" s="88"/>
      <c r="G46" s="88"/>
      <c r="H46" s="88"/>
      <c r="I46" s="92"/>
      <c r="J46" s="92"/>
      <c r="K46" s="92"/>
      <c r="L46" s="92"/>
      <c r="M46" s="92"/>
      <c r="N46" s="94">
        <f>SUM(I46:M46)</f>
        <v>0</v>
      </c>
      <c r="O46" s="95"/>
      <c r="P46" s="96"/>
      <c r="Q46" s="96"/>
      <c r="R46" s="96"/>
      <c r="S46" s="96"/>
      <c r="T46" s="94">
        <f>+N46-O46</f>
        <v>0</v>
      </c>
      <c r="U46" s="97">
        <f>+T46*0.05</f>
        <v>0</v>
      </c>
      <c r="V46" s="94">
        <f>+T46-P46-S46</f>
        <v>0</v>
      </c>
      <c r="W46" s="98">
        <f>IF(T46&lt;3000,T46*0.1,0)</f>
        <v>0</v>
      </c>
      <c r="X46" s="97">
        <v>0</v>
      </c>
      <c r="Y46" s="94">
        <f>+T46+W46+X46</f>
        <v>0</v>
      </c>
      <c r="AA46" s="159"/>
      <c r="AB46" s="159"/>
      <c r="AC46" s="167"/>
    </row>
    <row r="47" spans="1:45" x14ac:dyDescent="0.25">
      <c r="Y47" s="83">
        <f>SUM(Y45:Y46)</f>
        <v>0</v>
      </c>
      <c r="AA47" s="23"/>
      <c r="AB47" s="23"/>
      <c r="AC47" s="155">
        <f>+Z47-AA47-AB47</f>
        <v>0</v>
      </c>
    </row>
    <row r="48" spans="1:45" x14ac:dyDescent="0.25">
      <c r="B48" s="112" t="s">
        <v>206</v>
      </c>
      <c r="C48" s="112"/>
      <c r="Y48" s="83">
        <f>+Y47*0.16</f>
        <v>0</v>
      </c>
      <c r="AA48" s="23"/>
      <c r="AB48" s="23"/>
      <c r="AC48" s="155">
        <f>+Z48-AA48-AB48</f>
        <v>0</v>
      </c>
    </row>
    <row r="49" spans="1:29" x14ac:dyDescent="0.25">
      <c r="B49" s="112"/>
      <c r="C49" s="112"/>
      <c r="Y49" s="83">
        <f>+Y47+Y48</f>
        <v>0</v>
      </c>
      <c r="AA49" s="23"/>
      <c r="AB49" s="23"/>
      <c r="AC49" s="155">
        <f>+Z49-AA49-AB49</f>
        <v>0</v>
      </c>
    </row>
    <row r="50" spans="1:29" x14ac:dyDescent="0.25">
      <c r="B50" s="112"/>
      <c r="C50" s="112"/>
      <c r="AA50" s="159"/>
      <c r="AB50" s="159"/>
      <c r="AC50" s="167"/>
    </row>
    <row r="51" spans="1:29" x14ac:dyDescent="0.25">
      <c r="B51" s="112" t="s">
        <v>207</v>
      </c>
      <c r="C51" s="112"/>
      <c r="Y51" s="83">
        <f>+Y44+Y49</f>
        <v>289491.83949600009</v>
      </c>
      <c r="AA51" s="23"/>
      <c r="AB51" s="23"/>
      <c r="AC51" s="155">
        <f t="shared" ref="AC51:AC68" si="11">+Z51-AA51-AB51</f>
        <v>0</v>
      </c>
    </row>
    <row r="52" spans="1:29" x14ac:dyDescent="0.25">
      <c r="B52" s="99"/>
      <c r="AA52" s="23"/>
      <c r="AB52" s="23"/>
      <c r="AC52" s="155">
        <f t="shared" si="11"/>
        <v>0</v>
      </c>
    </row>
    <row r="53" spans="1:29" x14ac:dyDescent="0.25">
      <c r="B53" s="99"/>
      <c r="AA53" s="23"/>
      <c r="AB53" s="23"/>
      <c r="AC53" s="155">
        <f t="shared" si="11"/>
        <v>0</v>
      </c>
    </row>
    <row r="54" spans="1:29" x14ac:dyDescent="0.25">
      <c r="B54" s="23"/>
      <c r="AA54" s="23"/>
      <c r="AB54" s="23"/>
      <c r="AC54" s="155">
        <f t="shared" si="11"/>
        <v>0</v>
      </c>
    </row>
    <row r="55" spans="1:29" x14ac:dyDescent="0.25">
      <c r="B55" s="23"/>
      <c r="AA55" s="23"/>
      <c r="AB55" s="23"/>
      <c r="AC55" s="155">
        <f t="shared" si="11"/>
        <v>0</v>
      </c>
    </row>
    <row r="56" spans="1:29" x14ac:dyDescent="0.25">
      <c r="AA56" s="23"/>
      <c r="AB56" s="23"/>
      <c r="AC56" s="155">
        <f t="shared" si="11"/>
        <v>0</v>
      </c>
    </row>
    <row r="57" spans="1:29" x14ac:dyDescent="0.25">
      <c r="AA57" s="23"/>
      <c r="AB57" s="23"/>
      <c r="AC57" s="155">
        <f t="shared" si="11"/>
        <v>0</v>
      </c>
    </row>
    <row r="58" spans="1:29" x14ac:dyDescent="0.25">
      <c r="A58" s="101" t="s">
        <v>208</v>
      </c>
      <c r="B58" s="82"/>
      <c r="AA58" s="23"/>
      <c r="AB58" s="23"/>
      <c r="AC58" s="155">
        <f t="shared" si="11"/>
        <v>0</v>
      </c>
    </row>
    <row r="59" spans="1:29" x14ac:dyDescent="0.25">
      <c r="A59" s="101" t="s">
        <v>209</v>
      </c>
      <c r="B59" s="82"/>
      <c r="AA59" s="23"/>
      <c r="AB59" s="23"/>
      <c r="AC59" s="155">
        <f t="shared" si="11"/>
        <v>0</v>
      </c>
    </row>
    <row r="60" spans="1:29" x14ac:dyDescent="0.25">
      <c r="A60" s="101" t="s">
        <v>210</v>
      </c>
      <c r="B60" s="82"/>
      <c r="AA60" s="23"/>
      <c r="AB60" s="23"/>
      <c r="AC60" s="155">
        <f t="shared" si="11"/>
        <v>0</v>
      </c>
    </row>
    <row r="61" spans="1:29" x14ac:dyDescent="0.25">
      <c r="A61" s="101" t="s">
        <v>211</v>
      </c>
      <c r="B61" s="82"/>
      <c r="AA61" s="23"/>
      <c r="AB61" s="23"/>
      <c r="AC61" s="155">
        <f t="shared" si="11"/>
        <v>0</v>
      </c>
    </row>
    <row r="62" spans="1:29" x14ac:dyDescent="0.25">
      <c r="A62" s="101" t="s">
        <v>212</v>
      </c>
      <c r="B62" s="82"/>
      <c r="AA62" s="23"/>
      <c r="AB62" s="23"/>
      <c r="AC62" s="155">
        <f t="shared" si="11"/>
        <v>0</v>
      </c>
    </row>
    <row r="63" spans="1:29" x14ac:dyDescent="0.25">
      <c r="A63" s="101" t="s">
        <v>213</v>
      </c>
      <c r="B63" s="82"/>
      <c r="AA63" s="23"/>
      <c r="AB63" s="23"/>
      <c r="AC63" s="155">
        <f t="shared" si="11"/>
        <v>0</v>
      </c>
    </row>
    <row r="64" spans="1:29" x14ac:dyDescent="0.25">
      <c r="AA64" s="23"/>
      <c r="AB64" s="23"/>
      <c r="AC64" s="155">
        <f t="shared" si="11"/>
        <v>0</v>
      </c>
    </row>
    <row r="65" spans="27:29" x14ac:dyDescent="0.25">
      <c r="AA65" s="23"/>
      <c r="AB65" s="23"/>
      <c r="AC65" s="155">
        <f t="shared" si="11"/>
        <v>0</v>
      </c>
    </row>
    <row r="66" spans="27:29" x14ac:dyDescent="0.25">
      <c r="AA66" s="23"/>
      <c r="AB66" s="23"/>
      <c r="AC66" s="155">
        <f t="shared" si="11"/>
        <v>0</v>
      </c>
    </row>
    <row r="67" spans="27:29" x14ac:dyDescent="0.25">
      <c r="AA67" s="23"/>
      <c r="AB67" s="23"/>
      <c r="AC67" s="155">
        <f t="shared" si="11"/>
        <v>0</v>
      </c>
    </row>
    <row r="68" spans="27:29" x14ac:dyDescent="0.25">
      <c r="AA68" s="23"/>
      <c r="AB68" s="23"/>
      <c r="AC68" s="155">
        <f t="shared" si="11"/>
        <v>0</v>
      </c>
    </row>
    <row r="69" spans="27:29" x14ac:dyDescent="0.25">
      <c r="AA69" s="159"/>
      <c r="AB69" s="159"/>
      <c r="AC69" s="167"/>
    </row>
    <row r="70" spans="27:29" x14ac:dyDescent="0.25">
      <c r="AA70" s="23"/>
      <c r="AB70" s="23"/>
      <c r="AC70" s="155">
        <f t="shared" ref="AC70:AC78" si="12">+Z70-AA70-AB70</f>
        <v>0</v>
      </c>
    </row>
    <row r="71" spans="27:29" x14ac:dyDescent="0.25">
      <c r="AA71" s="23"/>
      <c r="AB71" s="23"/>
      <c r="AC71" s="155">
        <f t="shared" si="12"/>
        <v>0</v>
      </c>
    </row>
    <row r="72" spans="27:29" x14ac:dyDescent="0.25">
      <c r="AA72" s="23"/>
      <c r="AB72" s="23"/>
      <c r="AC72" s="155">
        <f t="shared" si="12"/>
        <v>0</v>
      </c>
    </row>
    <row r="73" spans="27:29" x14ac:dyDescent="0.25">
      <c r="AA73" s="23"/>
      <c r="AB73" s="23"/>
      <c r="AC73" s="155">
        <f t="shared" si="12"/>
        <v>0</v>
      </c>
    </row>
    <row r="74" spans="27:29" x14ac:dyDescent="0.25">
      <c r="AA74" s="23"/>
      <c r="AB74" s="23"/>
      <c r="AC74" s="155">
        <f t="shared" si="12"/>
        <v>0</v>
      </c>
    </row>
    <row r="75" spans="27:29" x14ac:dyDescent="0.25">
      <c r="AA75" s="23"/>
      <c r="AB75" s="23"/>
      <c r="AC75" s="155">
        <f t="shared" si="12"/>
        <v>0</v>
      </c>
    </row>
    <row r="76" spans="27:29" x14ac:dyDescent="0.25">
      <c r="AA76" s="23"/>
      <c r="AB76" s="23"/>
      <c r="AC76" s="155">
        <f t="shared" si="12"/>
        <v>0</v>
      </c>
    </row>
    <row r="77" spans="27:29" x14ac:dyDescent="0.25">
      <c r="AA77" s="23"/>
      <c r="AB77" s="23"/>
      <c r="AC77" s="155">
        <f t="shared" si="12"/>
        <v>0</v>
      </c>
    </row>
    <row r="78" spans="27:29" x14ac:dyDescent="0.25">
      <c r="AA78" s="23"/>
      <c r="AB78" s="23"/>
      <c r="AC78" s="155">
        <f t="shared" si="12"/>
        <v>0</v>
      </c>
    </row>
    <row r="79" spans="27:29" x14ac:dyDescent="0.25">
      <c r="AA79" s="159"/>
      <c r="AB79" s="159"/>
      <c r="AC79" s="167"/>
    </row>
    <row r="80" spans="27:29" x14ac:dyDescent="0.25">
      <c r="AA80" s="23"/>
      <c r="AB80" s="23"/>
      <c r="AC80" s="155">
        <f t="shared" ref="AC80:AC91" si="13">+Z80-AA80-AB80</f>
        <v>0</v>
      </c>
    </row>
    <row r="81" spans="27:29" x14ac:dyDescent="0.25">
      <c r="AA81" s="23"/>
      <c r="AB81" s="23"/>
      <c r="AC81" s="155">
        <f t="shared" si="13"/>
        <v>0</v>
      </c>
    </row>
    <row r="82" spans="27:29" x14ac:dyDescent="0.25">
      <c r="AA82" s="23"/>
      <c r="AB82" s="23"/>
      <c r="AC82" s="155">
        <f t="shared" si="13"/>
        <v>0</v>
      </c>
    </row>
    <row r="83" spans="27:29" x14ac:dyDescent="0.25">
      <c r="AA83" s="23"/>
      <c r="AB83" s="23"/>
      <c r="AC83" s="155">
        <f t="shared" si="13"/>
        <v>0</v>
      </c>
    </row>
    <row r="84" spans="27:29" x14ac:dyDescent="0.25">
      <c r="AA84" s="23"/>
      <c r="AB84" s="23"/>
      <c r="AC84" s="155">
        <f t="shared" si="13"/>
        <v>0</v>
      </c>
    </row>
    <row r="85" spans="27:29" x14ac:dyDescent="0.25">
      <c r="AA85" s="23"/>
      <c r="AB85" s="23"/>
      <c r="AC85" s="155">
        <f t="shared" si="13"/>
        <v>0</v>
      </c>
    </row>
    <row r="86" spans="27:29" x14ac:dyDescent="0.25">
      <c r="AA86" s="23"/>
      <c r="AB86" s="23"/>
      <c r="AC86" s="155">
        <f t="shared" si="13"/>
        <v>0</v>
      </c>
    </row>
    <row r="87" spans="27:29" x14ac:dyDescent="0.25">
      <c r="AA87" s="23"/>
      <c r="AB87" s="23"/>
      <c r="AC87" s="155">
        <f t="shared" si="13"/>
        <v>0</v>
      </c>
    </row>
    <row r="88" spans="27:29" x14ac:dyDescent="0.25">
      <c r="AA88" s="23"/>
      <c r="AB88" s="23"/>
      <c r="AC88" s="155">
        <f t="shared" si="13"/>
        <v>0</v>
      </c>
    </row>
    <row r="89" spans="27:29" x14ac:dyDescent="0.25">
      <c r="AA89" s="23"/>
      <c r="AB89" s="23"/>
      <c r="AC89" s="155">
        <f t="shared" si="13"/>
        <v>0</v>
      </c>
    </row>
    <row r="90" spans="27:29" x14ac:dyDescent="0.25">
      <c r="AA90" s="23"/>
      <c r="AB90" s="23"/>
      <c r="AC90" s="155">
        <f t="shared" si="13"/>
        <v>0</v>
      </c>
    </row>
    <row r="91" spans="27:29" x14ac:dyDescent="0.25">
      <c r="AA91" s="23"/>
      <c r="AB91" s="23"/>
      <c r="AC91" s="155">
        <f t="shared" si="13"/>
        <v>0</v>
      </c>
    </row>
    <row r="92" spans="27:29" x14ac:dyDescent="0.25">
      <c r="AA92" s="23"/>
      <c r="AB92" s="23"/>
      <c r="AC92" s="23"/>
    </row>
    <row r="93" spans="27:29" x14ac:dyDescent="0.25">
      <c r="AA93" s="23"/>
      <c r="AB93" s="23"/>
      <c r="AC93" s="23"/>
    </row>
    <row r="94" spans="27:29" x14ac:dyDescent="0.25">
      <c r="AA94" s="23"/>
      <c r="AB94" s="23"/>
      <c r="AC94" s="23"/>
    </row>
    <row r="95" spans="27:29" x14ac:dyDescent="0.25">
      <c r="AA95" s="23"/>
      <c r="AB95" s="23"/>
      <c r="AC95" s="23"/>
    </row>
    <row r="96" spans="27:29" x14ac:dyDescent="0.25">
      <c r="AA96" s="23"/>
      <c r="AB96" s="23"/>
      <c r="AC96" s="23"/>
    </row>
    <row r="97" spans="27:29" ht="16.5" thickBot="1" x14ac:dyDescent="0.3">
      <c r="AA97" s="171">
        <f>SUM(AA7:AA96)</f>
        <v>0</v>
      </c>
      <c r="AB97" s="171">
        <f>SUM(AB7:AB96)</f>
        <v>0</v>
      </c>
      <c r="AC97" s="171">
        <f>SUM(AC7:AC96)</f>
        <v>-108384.85499999994</v>
      </c>
    </row>
    <row r="98" spans="27:29" ht="16.5" thickTop="1" x14ac:dyDescent="0.25">
      <c r="AA98" s="172"/>
      <c r="AB98" s="172"/>
      <c r="AC98" s="172"/>
    </row>
    <row r="99" spans="27:29" x14ac:dyDescent="0.25">
      <c r="AA99" s="172"/>
      <c r="AB99" s="172"/>
      <c r="AC99" s="172"/>
    </row>
    <row r="100" spans="27:29" x14ac:dyDescent="0.25">
      <c r="AA100" s="173" t="e">
        <f>+T100+#REF!+Z100</f>
        <v>#REF!</v>
      </c>
      <c r="AB100" s="173" t="e">
        <f>+U100+Z100+AA100</f>
        <v>#REF!</v>
      </c>
      <c r="AC100" s="173" t="e">
        <f>+V100+AA100+AB100</f>
        <v>#REF!</v>
      </c>
    </row>
    <row r="101" spans="27:29" x14ac:dyDescent="0.25">
      <c r="AA101" s="173" t="e">
        <f>+T101+#REF!+Z101</f>
        <v>#REF!</v>
      </c>
      <c r="AB101" s="173" t="e">
        <f>+U101+Z101+AA101</f>
        <v>#REF!</v>
      </c>
      <c r="AC101" s="173" t="e">
        <f>+V101+AA101+AB101</f>
        <v>#REF!</v>
      </c>
    </row>
  </sheetData>
  <sortState ref="A7:AA36">
    <sortCondition ref="B7:B36"/>
  </sortState>
  <mergeCells count="27">
    <mergeCell ref="AA5:AB5"/>
    <mergeCell ref="AC5:AC6"/>
    <mergeCell ref="AD5:AD6"/>
    <mergeCell ref="A44:B44"/>
    <mergeCell ref="V5:V6"/>
    <mergeCell ref="W5:W6"/>
    <mergeCell ref="X5:X6"/>
    <mergeCell ref="Y5:Y6"/>
    <mergeCell ref="Z5:Z6"/>
    <mergeCell ref="P5:P6"/>
    <mergeCell ref="Q5:Q6"/>
    <mergeCell ref="R5:R6"/>
    <mergeCell ref="S5:S6"/>
    <mergeCell ref="A5:A6"/>
    <mergeCell ref="B5:B6"/>
    <mergeCell ref="C5:C6"/>
    <mergeCell ref="D5:D6"/>
    <mergeCell ref="E5:E6"/>
    <mergeCell ref="F5:F6"/>
    <mergeCell ref="T5:T6"/>
    <mergeCell ref="U5:U6"/>
    <mergeCell ref="I5:I6"/>
    <mergeCell ref="K5:K6"/>
    <mergeCell ref="L5:L6"/>
    <mergeCell ref="M5:M6"/>
    <mergeCell ref="N5:N6"/>
    <mergeCell ref="O5:O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  <pageSetUpPr fitToPage="1"/>
  </sheetPr>
  <dimension ref="A1:CP103"/>
  <sheetViews>
    <sheetView workbookViewId="0">
      <pane xSplit="2" ySplit="8" topLeftCell="C10" activePane="bottomRight" state="frozen"/>
      <selection pane="topRight" activeCell="C1" sqref="C1"/>
      <selection pane="bottomLeft" activeCell="A10" sqref="A10"/>
      <selection pane="bottomRight" activeCell="N39" sqref="N10:N39"/>
    </sheetView>
  </sheetViews>
  <sheetFormatPr baseColWidth="10" defaultRowHeight="15.75" x14ac:dyDescent="0.25"/>
  <cols>
    <col min="1" max="1" width="12.28515625" style="18" customWidth="1"/>
    <col min="2" max="2" width="40.28515625" style="16" customWidth="1"/>
    <col min="3" max="3" width="13" style="16" bestFit="1" customWidth="1"/>
    <col min="4" max="8" width="13" style="16" customWidth="1"/>
    <col min="9" max="9" width="13.5703125" style="16" bestFit="1" customWidth="1"/>
    <col min="10" max="11" width="13" style="16" bestFit="1" customWidth="1"/>
    <col min="12" max="12" width="13.7109375" style="16" bestFit="1" customWidth="1"/>
    <col min="13" max="13" width="13.140625" style="16" bestFit="1" customWidth="1"/>
    <col min="14" max="14" width="16.5703125" style="16" bestFit="1" customWidth="1"/>
    <col min="15" max="15" width="15.140625" style="43" bestFit="1" customWidth="1"/>
    <col min="16" max="16" width="12.42578125" style="16" bestFit="1" customWidth="1"/>
    <col min="17" max="17" width="39" style="16" hidden="1" customWidth="1"/>
    <col min="18" max="34" width="11.42578125" style="16" hidden="1" customWidth="1"/>
    <col min="35" max="35" width="11.5703125" style="16" hidden="1" customWidth="1"/>
    <col min="36" max="36" width="11.42578125" style="16" hidden="1" customWidth="1"/>
    <col min="37" max="37" width="11.5703125" style="16" hidden="1" customWidth="1"/>
    <col min="38" max="42" width="11.42578125" style="16" hidden="1" customWidth="1"/>
    <col min="43" max="43" width="27.7109375" style="16" hidden="1" customWidth="1"/>
    <col min="44" max="54" width="11.42578125" style="16" hidden="1" customWidth="1"/>
    <col min="55" max="56" width="11.5703125" style="16" hidden="1" customWidth="1"/>
    <col min="57" max="57" width="0" style="101" hidden="1" customWidth="1"/>
    <col min="58" max="58" width="39" style="101" hidden="1" customWidth="1"/>
    <col min="59" max="63" width="0" style="101" hidden="1" customWidth="1"/>
    <col min="64" max="64" width="11.5703125" style="101" hidden="1" customWidth="1"/>
    <col min="65" max="66" width="0" style="82" hidden="1" customWidth="1"/>
    <col min="67" max="67" width="12.7109375" style="82" hidden="1" customWidth="1"/>
    <col min="68" max="69" width="0" style="82" hidden="1" customWidth="1"/>
    <col min="70" max="70" width="0" style="83" hidden="1" customWidth="1"/>
    <col min="71" max="71" width="20.85546875" style="82" hidden="1" customWidth="1"/>
    <col min="72" max="75" width="0" style="82" hidden="1" customWidth="1"/>
    <col min="76" max="76" width="0" style="83" hidden="1" customWidth="1"/>
    <col min="77" max="77" width="12.7109375" style="82" hidden="1" customWidth="1"/>
    <col min="78" max="78" width="0" style="83" hidden="1" customWidth="1"/>
    <col min="79" max="79" width="12.7109375" style="82" hidden="1" customWidth="1"/>
    <col min="80" max="80" width="0" style="82" hidden="1" customWidth="1"/>
    <col min="81" max="81" width="0" style="83" hidden="1" customWidth="1"/>
    <col min="82" max="82" width="12.7109375" style="101" hidden="1" customWidth="1"/>
    <col min="83" max="85" width="0" style="174" hidden="1" customWidth="1"/>
    <col min="86" max="87" width="0" style="101" hidden="1" customWidth="1"/>
    <col min="88" max="88" width="19.7109375" style="101" hidden="1" customWidth="1"/>
    <col min="89" max="91" width="0" style="101" hidden="1" customWidth="1"/>
    <col min="92" max="94" width="11.42578125" style="101"/>
    <col min="95" max="16384" width="11.42578125" style="16"/>
  </cols>
  <sheetData>
    <row r="1" spans="1:94" ht="18" customHeight="1" x14ac:dyDescent="0.25">
      <c r="A1" s="14" t="s">
        <v>0</v>
      </c>
      <c r="B1" s="224" t="s">
        <v>17</v>
      </c>
      <c r="C1" s="225"/>
      <c r="D1" s="15"/>
      <c r="E1" s="146" t="s">
        <v>299</v>
      </c>
      <c r="F1" s="15"/>
      <c r="G1" s="64"/>
      <c r="H1" s="64" t="s">
        <v>21</v>
      </c>
      <c r="AP1" s="119" t="s">
        <v>0</v>
      </c>
      <c r="AQ1" s="226" t="s">
        <v>17</v>
      </c>
      <c r="AR1" s="227"/>
      <c r="AS1" s="227"/>
      <c r="AT1" s="118"/>
      <c r="AU1" s="118"/>
      <c r="AV1" s="118"/>
      <c r="AW1" s="118"/>
      <c r="AX1" s="118"/>
      <c r="CJ1" s="76"/>
      <c r="CK1" s="76"/>
      <c r="CL1" s="76"/>
      <c r="CM1" s="76"/>
      <c r="CN1" s="76"/>
      <c r="CO1" s="76"/>
      <c r="CP1" s="76"/>
    </row>
    <row r="2" spans="1:94" ht="24.95" customHeight="1" x14ac:dyDescent="0.25">
      <c r="A2" s="17" t="s">
        <v>1</v>
      </c>
      <c r="B2" s="140" t="s">
        <v>2</v>
      </c>
      <c r="C2" s="10"/>
      <c r="D2" s="10"/>
      <c r="E2" s="115" t="s">
        <v>107</v>
      </c>
      <c r="F2" s="113"/>
      <c r="G2" s="113"/>
      <c r="H2" s="116">
        <v>1148.7</v>
      </c>
      <c r="I2" s="113" t="s">
        <v>219</v>
      </c>
      <c r="J2" s="117"/>
      <c r="AP2" s="120" t="s">
        <v>1</v>
      </c>
      <c r="AQ2" s="228" t="s">
        <v>2</v>
      </c>
      <c r="AR2" s="229"/>
      <c r="AS2" s="229"/>
      <c r="AT2" s="118"/>
      <c r="AU2" s="118"/>
      <c r="AV2" s="118"/>
      <c r="AW2" s="118"/>
      <c r="AX2" s="118"/>
      <c r="CJ2" s="76"/>
      <c r="CK2" s="76"/>
      <c r="CL2" s="76"/>
      <c r="CM2" s="76"/>
      <c r="CN2" s="76"/>
      <c r="CO2" s="76"/>
      <c r="CP2" s="76"/>
    </row>
    <row r="3" spans="1:94" x14ac:dyDescent="0.25">
      <c r="B3" s="66" t="s">
        <v>3</v>
      </c>
      <c r="C3" s="57"/>
      <c r="D3" s="57"/>
      <c r="E3" s="15"/>
      <c r="F3" s="15"/>
      <c r="G3" s="64"/>
      <c r="H3" s="63"/>
      <c r="J3" s="43"/>
      <c r="AP3" s="118"/>
      <c r="AQ3" s="230" t="s">
        <v>3</v>
      </c>
      <c r="AR3" s="231"/>
      <c r="AS3" s="231"/>
      <c r="AT3" s="118"/>
      <c r="AU3" s="118"/>
      <c r="AV3" s="118"/>
      <c r="AW3" s="118"/>
      <c r="AX3" s="118"/>
      <c r="CJ3" s="76"/>
      <c r="CK3" s="76"/>
      <c r="CL3" s="76"/>
      <c r="CM3" s="76"/>
      <c r="CN3" s="76"/>
      <c r="CO3" s="76"/>
      <c r="CP3" s="76"/>
    </row>
    <row r="4" spans="1:94" x14ac:dyDescent="0.25">
      <c r="B4" s="150" t="s">
        <v>250</v>
      </c>
      <c r="C4" s="150"/>
      <c r="D4" s="150"/>
      <c r="E4" s="150"/>
      <c r="F4" s="150"/>
      <c r="G4" s="64"/>
      <c r="H4" s="63"/>
      <c r="I4" s="51"/>
      <c r="AP4" s="118"/>
      <c r="AQ4" s="232" t="s">
        <v>220</v>
      </c>
      <c r="AR4" s="231"/>
      <c r="AS4" s="231"/>
      <c r="AT4" s="118"/>
      <c r="AU4" s="118"/>
      <c r="AV4" s="118"/>
      <c r="AW4" s="118"/>
      <c r="AX4" s="118"/>
      <c r="BE4" s="71" t="s">
        <v>147</v>
      </c>
      <c r="BF4" s="71"/>
      <c r="BG4" s="71"/>
      <c r="BH4" s="72"/>
      <c r="BI4" s="72"/>
      <c r="BJ4" s="72"/>
      <c r="BK4" s="72"/>
      <c r="BL4" s="72"/>
      <c r="BM4" s="73"/>
      <c r="BN4" s="73"/>
      <c r="BO4" s="73"/>
      <c r="BP4" s="73"/>
      <c r="BQ4" s="73"/>
      <c r="BR4" s="74"/>
      <c r="BS4" s="73"/>
      <c r="BT4" s="73"/>
      <c r="BU4" s="73"/>
      <c r="BV4" s="73"/>
      <c r="BW4" s="73"/>
      <c r="BX4" s="74"/>
      <c r="BY4" s="73"/>
      <c r="BZ4" s="74"/>
      <c r="CA4" s="73"/>
      <c r="CB4" s="73"/>
      <c r="CC4" s="74"/>
      <c r="CD4" s="75"/>
      <c r="CE4" s="151"/>
      <c r="CF4" s="151"/>
      <c r="CG4" s="151"/>
      <c r="CH4" s="76"/>
      <c r="CI4" s="76"/>
      <c r="CJ4" s="81"/>
      <c r="CK4" s="81"/>
      <c r="CL4" s="81"/>
      <c r="CM4" s="81"/>
      <c r="CN4" s="81"/>
      <c r="CO4" s="81"/>
      <c r="CP4" s="81"/>
    </row>
    <row r="5" spans="1:94" x14ac:dyDescent="0.25">
      <c r="B5" s="128" t="s">
        <v>248</v>
      </c>
      <c r="C5" s="46"/>
      <c r="D5" s="46"/>
      <c r="AP5" s="118"/>
      <c r="AQ5" s="121" t="s">
        <v>4</v>
      </c>
      <c r="AR5" s="118"/>
      <c r="AS5" s="118"/>
      <c r="AT5" s="118"/>
      <c r="AU5" s="118"/>
      <c r="AV5" s="118"/>
      <c r="AW5" s="118"/>
      <c r="AX5" s="118"/>
      <c r="BE5" s="77" t="s">
        <v>148</v>
      </c>
      <c r="BF5" s="77"/>
      <c r="BG5" s="77"/>
      <c r="BH5" s="78"/>
      <c r="BI5" s="78"/>
      <c r="BJ5" s="78"/>
      <c r="BK5" s="78"/>
      <c r="BL5" s="78"/>
      <c r="BM5" s="73"/>
      <c r="BN5" s="73"/>
      <c r="BO5" s="73"/>
      <c r="BP5" s="73"/>
      <c r="BQ5" s="73"/>
      <c r="BR5" s="74"/>
      <c r="BS5" s="73" t="s">
        <v>149</v>
      </c>
      <c r="BT5" s="73"/>
      <c r="BU5" s="73"/>
      <c r="BV5" s="73"/>
      <c r="BW5" s="73"/>
      <c r="BX5" s="74"/>
      <c r="BY5" s="73"/>
      <c r="BZ5" s="74"/>
      <c r="CA5" s="73"/>
      <c r="CB5" s="73"/>
      <c r="CC5" s="74"/>
      <c r="CD5" s="75"/>
      <c r="CE5" s="151"/>
      <c r="CF5" s="151"/>
      <c r="CG5" s="151"/>
      <c r="CH5" s="76"/>
      <c r="CI5" s="76"/>
      <c r="CJ5" s="85"/>
      <c r="CK5" s="85"/>
      <c r="CL5" s="85"/>
      <c r="CM5" s="85"/>
      <c r="CN5" s="85"/>
      <c r="CO5" s="85"/>
      <c r="CP5" s="85"/>
    </row>
    <row r="6" spans="1:94" x14ac:dyDescent="0.25">
      <c r="B6" s="65" t="s">
        <v>5</v>
      </c>
      <c r="C6" s="46"/>
      <c r="D6" s="46"/>
      <c r="AP6" s="118"/>
      <c r="AQ6" s="121" t="s">
        <v>5</v>
      </c>
      <c r="AR6" s="118"/>
      <c r="AS6" s="118"/>
      <c r="AT6" s="118"/>
      <c r="AU6" s="118"/>
      <c r="AV6" s="118"/>
      <c r="AW6" s="118"/>
      <c r="AX6" s="118"/>
      <c r="BE6" s="79" t="s">
        <v>251</v>
      </c>
      <c r="BF6" s="79"/>
      <c r="BG6" s="79"/>
      <c r="BH6" s="80"/>
      <c r="BI6" s="80"/>
      <c r="BJ6" s="80"/>
      <c r="BK6" s="80"/>
      <c r="BL6" s="80"/>
      <c r="BM6" s="73"/>
      <c r="BN6" s="73"/>
      <c r="BO6" s="73"/>
      <c r="BP6" s="73"/>
      <c r="BQ6" s="73"/>
      <c r="BR6" s="74"/>
      <c r="BS6" s="73"/>
      <c r="BT6" s="73"/>
      <c r="BU6" s="73"/>
      <c r="BV6" s="73"/>
      <c r="BW6" s="73"/>
      <c r="BX6" s="74"/>
      <c r="BY6" s="73"/>
      <c r="BZ6" s="74"/>
      <c r="CA6" s="73"/>
      <c r="CB6" s="73"/>
      <c r="CC6" s="74"/>
      <c r="CD6" s="75"/>
      <c r="CE6" s="151"/>
      <c r="CF6" s="151"/>
      <c r="CG6" s="151"/>
      <c r="CH6" s="76"/>
      <c r="CI6" s="76"/>
      <c r="CJ6" s="85"/>
      <c r="CK6" s="85"/>
      <c r="CL6" s="85"/>
      <c r="CM6" s="85"/>
      <c r="CN6" s="85"/>
      <c r="CO6" s="85"/>
      <c r="CP6" s="85"/>
    </row>
    <row r="7" spans="1:94" x14ac:dyDescent="0.25">
      <c r="C7" s="46"/>
      <c r="D7" s="46"/>
      <c r="E7" s="46"/>
      <c r="F7" s="46"/>
      <c r="G7" s="114"/>
      <c r="H7" s="46"/>
      <c r="I7" s="46"/>
      <c r="J7" s="46"/>
      <c r="K7" s="46"/>
      <c r="L7" s="46"/>
      <c r="M7" s="46"/>
      <c r="N7" s="46"/>
      <c r="BE7" s="81" t="s">
        <v>252</v>
      </c>
      <c r="BF7" s="81"/>
      <c r="BG7" s="81"/>
      <c r="BH7" s="81"/>
      <c r="BI7" s="81"/>
      <c r="BJ7" s="81"/>
      <c r="BK7" s="81"/>
      <c r="BL7" s="81"/>
      <c r="CD7" s="81"/>
      <c r="CE7" s="152"/>
      <c r="CF7" s="152"/>
      <c r="CG7" s="152"/>
      <c r="CH7" s="81"/>
      <c r="CI7" s="81"/>
      <c r="CJ7" s="99"/>
      <c r="CK7" s="99"/>
      <c r="CL7" s="99"/>
      <c r="CM7" s="99"/>
      <c r="CN7" s="99"/>
      <c r="CO7" s="99"/>
      <c r="CP7" s="99"/>
    </row>
    <row r="8" spans="1:94" s="30" customFormat="1" ht="35.25" customHeight="1" thickBot="1" x14ac:dyDescent="0.3">
      <c r="A8" s="29" t="s">
        <v>6</v>
      </c>
      <c r="B8" s="19" t="s">
        <v>7</v>
      </c>
      <c r="C8" s="19" t="s">
        <v>22</v>
      </c>
      <c r="D8" s="19" t="s">
        <v>27</v>
      </c>
      <c r="E8" s="19" t="s">
        <v>23</v>
      </c>
      <c r="F8" s="19" t="s">
        <v>31</v>
      </c>
      <c r="G8" s="19" t="s">
        <v>164</v>
      </c>
      <c r="H8" s="19" t="s">
        <v>21</v>
      </c>
      <c r="I8" s="19" t="s">
        <v>291</v>
      </c>
      <c r="J8" s="19" t="s">
        <v>290</v>
      </c>
      <c r="K8" s="19" t="s">
        <v>146</v>
      </c>
      <c r="L8" s="19" t="s">
        <v>24</v>
      </c>
      <c r="M8" s="19" t="s">
        <v>25</v>
      </c>
      <c r="N8" s="19" t="s">
        <v>26</v>
      </c>
      <c r="O8" s="19" t="s">
        <v>20</v>
      </c>
      <c r="P8" s="19" t="s">
        <v>301</v>
      </c>
      <c r="Q8" s="141"/>
      <c r="R8" s="216" t="s">
        <v>150</v>
      </c>
      <c r="S8" s="216" t="s">
        <v>151</v>
      </c>
      <c r="T8" s="216" t="s">
        <v>152</v>
      </c>
      <c r="U8" s="216" t="s">
        <v>153</v>
      </c>
      <c r="V8" s="215" t="s">
        <v>154</v>
      </c>
      <c r="W8" s="215" t="s">
        <v>155</v>
      </c>
      <c r="X8" s="84"/>
      <c r="Y8" s="84"/>
      <c r="Z8" s="215" t="s">
        <v>156</v>
      </c>
      <c r="AA8" s="84"/>
      <c r="AB8" s="215" t="s">
        <v>157</v>
      </c>
      <c r="AC8" s="215" t="s">
        <v>158</v>
      </c>
      <c r="AD8" s="215" t="s">
        <v>159</v>
      </c>
      <c r="AE8" s="215" t="s">
        <v>160</v>
      </c>
      <c r="AF8" s="215" t="s">
        <v>161</v>
      </c>
      <c r="AG8" s="215" t="s">
        <v>162</v>
      </c>
      <c r="AH8" s="215" t="s">
        <v>163</v>
      </c>
      <c r="AI8" s="215" t="s">
        <v>164</v>
      </c>
      <c r="AJ8" s="215" t="s">
        <v>165</v>
      </c>
      <c r="AK8" s="215" t="s">
        <v>166</v>
      </c>
      <c r="AL8" s="215" t="s">
        <v>167</v>
      </c>
      <c r="AM8" s="215" t="s">
        <v>168</v>
      </c>
      <c r="AN8" s="215" t="s">
        <v>169</v>
      </c>
      <c r="AO8" s="215" t="s">
        <v>170</v>
      </c>
      <c r="AP8" s="215" t="s">
        <v>171</v>
      </c>
      <c r="AQ8" s="214" t="s">
        <v>172</v>
      </c>
      <c r="AR8" s="122" t="s">
        <v>6</v>
      </c>
      <c r="AS8" s="123" t="s">
        <v>7</v>
      </c>
      <c r="AT8" s="123" t="s">
        <v>8</v>
      </c>
      <c r="AU8" s="123" t="s">
        <v>65</v>
      </c>
      <c r="AV8" s="124" t="s">
        <v>9</v>
      </c>
      <c r="AW8" s="123" t="s">
        <v>10</v>
      </c>
      <c r="AX8" s="123" t="s">
        <v>11</v>
      </c>
      <c r="AY8" s="124" t="s">
        <v>12</v>
      </c>
      <c r="AZ8" s="125" t="s">
        <v>13</v>
      </c>
      <c r="BG8" s="216" t="s">
        <v>150</v>
      </c>
      <c r="BH8" s="216" t="s">
        <v>151</v>
      </c>
      <c r="BI8" s="216" t="s">
        <v>152</v>
      </c>
      <c r="BJ8" s="216" t="s">
        <v>153</v>
      </c>
      <c r="BK8" s="215" t="s">
        <v>154</v>
      </c>
      <c r="BL8" s="215" t="s">
        <v>155</v>
      </c>
      <c r="BM8" s="145"/>
      <c r="BN8" s="145"/>
      <c r="BO8" s="215" t="s">
        <v>156</v>
      </c>
      <c r="BP8" s="145"/>
      <c r="BQ8" s="215" t="s">
        <v>157</v>
      </c>
      <c r="BR8" s="215" t="s">
        <v>158</v>
      </c>
      <c r="BS8" s="215" t="s">
        <v>159</v>
      </c>
      <c r="BT8" s="215" t="s">
        <v>160</v>
      </c>
      <c r="BU8" s="215" t="s">
        <v>161</v>
      </c>
      <c r="BV8" s="215" t="s">
        <v>162</v>
      </c>
      <c r="BW8" s="215" t="s">
        <v>163</v>
      </c>
      <c r="BX8" s="215" t="s">
        <v>164</v>
      </c>
      <c r="BY8" s="215" t="s">
        <v>165</v>
      </c>
      <c r="BZ8" s="215" t="s">
        <v>166</v>
      </c>
      <c r="CA8" s="215" t="s">
        <v>167</v>
      </c>
      <c r="CB8" s="215" t="s">
        <v>168</v>
      </c>
      <c r="CC8" s="215" t="s">
        <v>169</v>
      </c>
      <c r="CD8" s="215" t="s">
        <v>170</v>
      </c>
      <c r="CE8" s="215" t="s">
        <v>171</v>
      </c>
      <c r="CF8" s="214" t="s">
        <v>172</v>
      </c>
      <c r="CG8" s="219" t="s">
        <v>253</v>
      </c>
      <c r="CH8" s="220"/>
      <c r="CI8" s="213" t="s">
        <v>254</v>
      </c>
      <c r="CJ8" s="214" t="s">
        <v>255</v>
      </c>
      <c r="CK8" s="85"/>
      <c r="CL8" s="99"/>
      <c r="CM8" s="99"/>
      <c r="CN8" s="19" t="s">
        <v>302</v>
      </c>
      <c r="CO8" s="99"/>
      <c r="CP8" s="99"/>
    </row>
    <row r="9" spans="1:94" s="185" customFormat="1" ht="16.5" hidden="1" thickTop="1" x14ac:dyDescent="0.25">
      <c r="A9" s="176" t="s">
        <v>43</v>
      </c>
      <c r="B9" s="177" t="s">
        <v>42</v>
      </c>
      <c r="C9" s="178">
        <f>+BO9</f>
        <v>2333.31</v>
      </c>
      <c r="D9" s="178">
        <v>0</v>
      </c>
      <c r="E9" s="178">
        <f>+BP9</f>
        <v>2351.39</v>
      </c>
      <c r="F9" s="178">
        <f>+BS9</f>
        <v>0</v>
      </c>
      <c r="G9" s="178">
        <f>+BX9</f>
        <v>0</v>
      </c>
      <c r="H9" s="178">
        <f>+BY9</f>
        <v>0</v>
      </c>
      <c r="I9" s="178">
        <f>+CA9</f>
        <v>468.47</v>
      </c>
      <c r="J9" s="178">
        <f>+C9+D9+E9-F9-G9-H9-I9</f>
        <v>4216.2299999999996</v>
      </c>
      <c r="K9" s="178">
        <f>+C9+D9+E9-F9-G9</f>
        <v>4684.7</v>
      </c>
      <c r="L9" s="178">
        <f>+CC9</f>
        <v>0</v>
      </c>
      <c r="M9" s="178">
        <f>+'C&amp;A'!E10*0.02</f>
        <v>10.2256</v>
      </c>
      <c r="N9" s="178">
        <f>SUM(K9:M9)</f>
        <v>4694.9255999999996</v>
      </c>
      <c r="O9" s="178">
        <f>+N9*0.16</f>
        <v>751.18809599999997</v>
      </c>
      <c r="P9" s="178">
        <f>+N9+O9</f>
        <v>5446.1136959999994</v>
      </c>
      <c r="Q9" s="179">
        <f>+K9-'C&amp;A'!J10-SINDICATO!L10</f>
        <v>468.47000000000025</v>
      </c>
      <c r="R9" s="102" t="s">
        <v>185</v>
      </c>
      <c r="S9" s="102" t="s">
        <v>190</v>
      </c>
      <c r="T9" s="160" t="s">
        <v>43</v>
      </c>
      <c r="U9" s="102" t="s">
        <v>187</v>
      </c>
      <c r="V9" s="102"/>
      <c r="W9" s="102"/>
      <c r="X9" s="161">
        <v>511.28</v>
      </c>
      <c r="Y9" s="161">
        <v>1822.03</v>
      </c>
      <c r="Z9" s="161">
        <f t="shared" ref="Z9:Z39" si="0">+X9+Y9</f>
        <v>2333.31</v>
      </c>
      <c r="AA9" s="162">
        <v>1806.78</v>
      </c>
      <c r="AB9" s="162"/>
      <c r="AC9" s="162"/>
      <c r="AD9" s="163"/>
      <c r="AE9" s="164">
        <f t="shared" ref="AE9:AE39" si="1">SUM(Z9:AC9)-AD9</f>
        <v>4140.09</v>
      </c>
      <c r="AF9" s="162"/>
      <c r="AG9" s="165"/>
      <c r="AH9" s="165"/>
      <c r="AI9" s="162"/>
      <c r="AJ9" s="161">
        <v>0</v>
      </c>
      <c r="AK9" s="164">
        <f t="shared" ref="AK9:AK39" si="2">+AE9-SUM(AF9:AJ9)</f>
        <v>4140.09</v>
      </c>
      <c r="AL9" s="165">
        <f t="shared" ref="AL9:AL39" si="3">IF(AE9&gt;4500,AE9*0.1,0)</f>
        <v>0</v>
      </c>
      <c r="AM9" s="164">
        <f t="shared" ref="AM9:AM39" si="4">+AK9-AL9</f>
        <v>4140.09</v>
      </c>
      <c r="AN9" s="165">
        <f t="shared" ref="AN9:AN39" si="5">IF(AE9&lt;4500,AE9*0.1,0)</f>
        <v>414.00900000000001</v>
      </c>
      <c r="AO9" s="165">
        <f t="shared" ref="AO9:AO39" si="6">X9*0.02</f>
        <v>10.2256</v>
      </c>
      <c r="AP9" s="164">
        <f t="shared" ref="AP9:AP39" si="7">+AE9+AN9+AO9</f>
        <v>4564.3245999999999</v>
      </c>
      <c r="AQ9" s="180"/>
      <c r="AR9" s="181" t="s">
        <v>221</v>
      </c>
      <c r="AS9" s="182" t="s">
        <v>66</v>
      </c>
      <c r="AT9" s="183">
        <v>438.24</v>
      </c>
      <c r="AU9" s="183">
        <v>73.040000000000006</v>
      </c>
      <c r="AV9" s="183">
        <v>511.28</v>
      </c>
      <c r="AW9" s="184">
        <v>-66.069999999999993</v>
      </c>
      <c r="AX9" s="184">
        <v>-0.05</v>
      </c>
      <c r="AY9" s="183">
        <v>-66.12</v>
      </c>
      <c r="AZ9" s="183">
        <v>577.4</v>
      </c>
      <c r="BC9" s="198"/>
      <c r="BD9" s="205"/>
      <c r="BG9" s="102" t="s">
        <v>185</v>
      </c>
      <c r="BH9" s="102" t="s">
        <v>190</v>
      </c>
      <c r="BI9" s="160" t="s">
        <v>43</v>
      </c>
      <c r="BJ9" s="102" t="s">
        <v>187</v>
      </c>
      <c r="BK9" s="102"/>
      <c r="BL9" s="102"/>
      <c r="BM9" s="161">
        <v>511.28</v>
      </c>
      <c r="BN9" s="161">
        <v>1822.03</v>
      </c>
      <c r="BO9" s="161">
        <f t="shared" ref="BO9:BO39" si="8">+BM9+BN9</f>
        <v>2333.31</v>
      </c>
      <c r="BP9" s="186">
        <v>2351.39</v>
      </c>
      <c r="BQ9" s="162"/>
      <c r="BR9" s="162"/>
      <c r="BS9" s="163"/>
      <c r="BT9" s="164">
        <f t="shared" ref="BT9:BT39" si="9">SUM(BO9:BR9)-BS9</f>
        <v>4684.7</v>
      </c>
      <c r="BU9" s="162"/>
      <c r="BV9" s="165"/>
      <c r="BW9" s="165"/>
      <c r="BX9" s="162"/>
      <c r="BY9" s="161">
        <v>0</v>
      </c>
      <c r="BZ9" s="164">
        <f t="shared" ref="BZ9:BZ39" si="10">+BT9-SUM(BU9:BY9)</f>
        <v>4684.7</v>
      </c>
      <c r="CA9" s="165">
        <f t="shared" ref="CA9:CA39" si="11">IF(BT9&gt;4500,BT9*0.1,0)</f>
        <v>468.47</v>
      </c>
      <c r="CB9" s="164">
        <f t="shared" ref="CB9:CB39" si="12">+BZ9-CA9</f>
        <v>4216.2299999999996</v>
      </c>
      <c r="CC9" s="165">
        <f t="shared" ref="CC9:CC39" si="13">IF(BT9&lt;4500,BT9*0.1,0)</f>
        <v>0</v>
      </c>
      <c r="CD9" s="165">
        <f t="shared" ref="CD9:CD39" si="14">BM9*0.02</f>
        <v>10.2256</v>
      </c>
      <c r="CE9" s="164">
        <f t="shared" ref="CE9:CE39" si="15">+BT9+CC9+CD9</f>
        <v>4694.9255999999996</v>
      </c>
      <c r="CF9" s="166"/>
      <c r="CG9" s="159"/>
      <c r="CH9" s="159"/>
      <c r="CI9" s="167">
        <f t="shared" ref="CI9:CI39" si="16">+CG9+CH9-CB9</f>
        <v>-4216.2299999999996</v>
      </c>
      <c r="CJ9" s="166" t="s">
        <v>256</v>
      </c>
      <c r="CK9" s="166"/>
      <c r="CL9" s="166"/>
      <c r="CM9" s="166"/>
      <c r="CN9" s="166" t="s">
        <v>303</v>
      </c>
      <c r="CO9" s="166"/>
      <c r="CP9" s="166"/>
    </row>
    <row r="10" spans="1:94" s="185" customFormat="1" ht="16.5" thickTop="1" x14ac:dyDescent="0.25">
      <c r="A10" s="176" t="s">
        <v>44</v>
      </c>
      <c r="B10" s="187" t="s">
        <v>108</v>
      </c>
      <c r="C10" s="178">
        <f t="shared" ref="C10:C39" si="17">+BO10</f>
        <v>511.28</v>
      </c>
      <c r="D10" s="178">
        <v>0</v>
      </c>
      <c r="E10" s="178">
        <f t="shared" ref="E10:E39" si="18">+BP10</f>
        <v>1236.0999999999999</v>
      </c>
      <c r="F10" s="178">
        <f t="shared" ref="F10:F39" si="19">+BS10</f>
        <v>0</v>
      </c>
      <c r="G10" s="178">
        <f t="shared" ref="G10:G39" si="20">+BX10</f>
        <v>0</v>
      </c>
      <c r="H10" s="178">
        <f t="shared" ref="H10:H39" si="21">+BY10</f>
        <v>0</v>
      </c>
      <c r="I10" s="178">
        <f t="shared" ref="I10:I39" si="22">+CA10</f>
        <v>0</v>
      </c>
      <c r="J10" s="178">
        <f t="shared" ref="J10:J39" si="23">+C10+D10+E10-F10-G10-H10-I10</f>
        <v>1747.3799999999999</v>
      </c>
      <c r="K10" s="178">
        <f t="shared" ref="K10:K39" si="24">+C10+D10+E10-F10-G10</f>
        <v>1747.3799999999999</v>
      </c>
      <c r="L10" s="178">
        <f t="shared" ref="L10:L39" si="25">+CC10</f>
        <v>174.738</v>
      </c>
      <c r="M10" s="178">
        <f>+'C&amp;A'!E11*0.02</f>
        <v>10.2256</v>
      </c>
      <c r="N10" s="178">
        <f t="shared" ref="N10:N39" si="26">SUM(K10:M10)</f>
        <v>1932.3435999999999</v>
      </c>
      <c r="O10" s="178">
        <f t="shared" ref="O10:O39" si="27">+N10*0.16</f>
        <v>309.17497600000002</v>
      </c>
      <c r="P10" s="178">
        <f t="shared" ref="P10:P39" si="28">+N10+O10</f>
        <v>2241.5185759999999</v>
      </c>
      <c r="Q10" s="179">
        <f>+K10-'C&amp;A'!J11-SINDICATO!L11</f>
        <v>0</v>
      </c>
      <c r="R10" s="102" t="s">
        <v>185</v>
      </c>
      <c r="S10" s="102" t="s">
        <v>191</v>
      </c>
      <c r="T10" s="160" t="s">
        <v>44</v>
      </c>
      <c r="U10" s="102" t="s">
        <v>47</v>
      </c>
      <c r="V10" s="102"/>
      <c r="W10" s="102"/>
      <c r="X10" s="161">
        <v>511.28</v>
      </c>
      <c r="Y10" s="161">
        <v>0</v>
      </c>
      <c r="Z10" s="161">
        <f t="shared" si="0"/>
        <v>511.28</v>
      </c>
      <c r="AA10" s="162">
        <v>2534.5500000000002</v>
      </c>
      <c r="AB10" s="162"/>
      <c r="AC10" s="162"/>
      <c r="AD10" s="163"/>
      <c r="AE10" s="164">
        <f t="shared" si="1"/>
        <v>3045.83</v>
      </c>
      <c r="AF10" s="162"/>
      <c r="AG10" s="165"/>
      <c r="AH10" s="165"/>
      <c r="AI10" s="162"/>
      <c r="AJ10" s="161">
        <v>0</v>
      </c>
      <c r="AK10" s="164">
        <f t="shared" si="2"/>
        <v>3045.83</v>
      </c>
      <c r="AL10" s="165">
        <f t="shared" si="3"/>
        <v>0</v>
      </c>
      <c r="AM10" s="164">
        <f t="shared" si="4"/>
        <v>3045.83</v>
      </c>
      <c r="AN10" s="165">
        <f t="shared" si="5"/>
        <v>304.58300000000003</v>
      </c>
      <c r="AO10" s="165">
        <f t="shared" si="6"/>
        <v>10.2256</v>
      </c>
      <c r="AP10" s="164">
        <f t="shared" si="7"/>
        <v>3360.6386000000002</v>
      </c>
      <c r="AQ10" s="180"/>
      <c r="AR10" s="181" t="s">
        <v>222</v>
      </c>
      <c r="AS10" s="182" t="s">
        <v>67</v>
      </c>
      <c r="AT10" s="183">
        <v>438.24</v>
      </c>
      <c r="AU10" s="183">
        <v>73.040000000000006</v>
      </c>
      <c r="AV10" s="183">
        <v>511.28</v>
      </c>
      <c r="AW10" s="184">
        <v>-66.069999999999993</v>
      </c>
      <c r="AX10" s="184">
        <v>-0.05</v>
      </c>
      <c r="AY10" s="183">
        <v>-66.12</v>
      </c>
      <c r="AZ10" s="183">
        <v>577.4</v>
      </c>
      <c r="BC10" s="198"/>
      <c r="BD10" s="205"/>
      <c r="BG10" s="102" t="s">
        <v>185</v>
      </c>
      <c r="BH10" s="102" t="s">
        <v>191</v>
      </c>
      <c r="BI10" s="160" t="s">
        <v>44</v>
      </c>
      <c r="BJ10" s="102" t="s">
        <v>47</v>
      </c>
      <c r="BK10" s="102"/>
      <c r="BL10" s="102"/>
      <c r="BM10" s="161">
        <v>511.28</v>
      </c>
      <c r="BN10" s="161">
        <v>0</v>
      </c>
      <c r="BO10" s="161">
        <f t="shared" si="8"/>
        <v>511.28</v>
      </c>
      <c r="BP10" s="188">
        <v>1236.0999999999999</v>
      </c>
      <c r="BQ10" s="162"/>
      <c r="BR10" s="162"/>
      <c r="BS10" s="163"/>
      <c r="BT10" s="164">
        <f t="shared" si="9"/>
        <v>1747.3799999999999</v>
      </c>
      <c r="BU10" s="162"/>
      <c r="BV10" s="165"/>
      <c r="BW10" s="165"/>
      <c r="BX10" s="162"/>
      <c r="BY10" s="161">
        <v>0</v>
      </c>
      <c r="BZ10" s="164">
        <f t="shared" si="10"/>
        <v>1747.3799999999999</v>
      </c>
      <c r="CA10" s="165">
        <f t="shared" si="11"/>
        <v>0</v>
      </c>
      <c r="CB10" s="164">
        <f t="shared" si="12"/>
        <v>1747.3799999999999</v>
      </c>
      <c r="CC10" s="165">
        <f t="shared" si="13"/>
        <v>174.738</v>
      </c>
      <c r="CD10" s="165">
        <f t="shared" si="14"/>
        <v>10.2256</v>
      </c>
      <c r="CE10" s="164">
        <f t="shared" si="15"/>
        <v>1932.3435999999999</v>
      </c>
      <c r="CF10" s="166"/>
      <c r="CG10" s="159"/>
      <c r="CH10" s="159"/>
      <c r="CI10" s="167">
        <f t="shared" si="16"/>
        <v>-1747.3799999999999</v>
      </c>
      <c r="CJ10" s="166" t="s">
        <v>257</v>
      </c>
      <c r="CK10" s="166"/>
      <c r="CL10" s="166"/>
      <c r="CM10" s="166"/>
      <c r="CN10" s="166" t="s">
        <v>304</v>
      </c>
      <c r="CO10" s="166"/>
      <c r="CP10" s="166"/>
    </row>
    <row r="11" spans="1:94" s="185" customFormat="1" x14ac:dyDescent="0.25">
      <c r="A11" s="176" t="s">
        <v>40</v>
      </c>
      <c r="B11" s="187" t="s">
        <v>102</v>
      </c>
      <c r="C11" s="178">
        <f t="shared" si="17"/>
        <v>511.28</v>
      </c>
      <c r="D11" s="178">
        <v>66.069999999999993</v>
      </c>
      <c r="E11" s="178">
        <f>+BP11</f>
        <v>50.58</v>
      </c>
      <c r="F11" s="178">
        <f t="shared" si="19"/>
        <v>0</v>
      </c>
      <c r="G11" s="178">
        <f t="shared" si="20"/>
        <v>0</v>
      </c>
      <c r="H11" s="178">
        <f t="shared" si="21"/>
        <v>134.46</v>
      </c>
      <c r="I11" s="178">
        <f t="shared" si="22"/>
        <v>0</v>
      </c>
      <c r="J11" s="178">
        <f t="shared" si="23"/>
        <v>493.46999999999991</v>
      </c>
      <c r="K11" s="178">
        <f t="shared" si="24"/>
        <v>627.92999999999995</v>
      </c>
      <c r="L11" s="178">
        <f t="shared" si="25"/>
        <v>56.186000000000007</v>
      </c>
      <c r="M11" s="178">
        <f>+'C&amp;A'!E12*0.02</f>
        <v>10.2256</v>
      </c>
      <c r="N11" s="178">
        <f t="shared" si="26"/>
        <v>694.34159999999997</v>
      </c>
      <c r="O11" s="178">
        <f t="shared" si="27"/>
        <v>111.094656</v>
      </c>
      <c r="P11" s="178">
        <f t="shared" si="28"/>
        <v>805.43625599999996</v>
      </c>
      <c r="Q11" s="179">
        <f>+K11-'C&amp;A'!J12-SINDICATO!L12</f>
        <v>134.46</v>
      </c>
      <c r="R11" s="102" t="s">
        <v>185</v>
      </c>
      <c r="S11" s="102" t="s">
        <v>189</v>
      </c>
      <c r="T11" s="160" t="s">
        <v>40</v>
      </c>
      <c r="U11" s="102" t="s">
        <v>47</v>
      </c>
      <c r="V11" s="102"/>
      <c r="W11" s="102"/>
      <c r="X11" s="161">
        <v>511.28</v>
      </c>
      <c r="Y11" s="161">
        <v>0</v>
      </c>
      <c r="Z11" s="161">
        <f t="shared" si="0"/>
        <v>511.28</v>
      </c>
      <c r="AA11" s="162">
        <v>6926.69</v>
      </c>
      <c r="AB11" s="162"/>
      <c r="AC11" s="162"/>
      <c r="AD11" s="163"/>
      <c r="AE11" s="164">
        <f t="shared" si="1"/>
        <v>7437.9699999999993</v>
      </c>
      <c r="AF11" s="162"/>
      <c r="AG11" s="165"/>
      <c r="AH11" s="165"/>
      <c r="AI11" s="162"/>
      <c r="AJ11" s="161">
        <v>134.46</v>
      </c>
      <c r="AK11" s="164">
        <f t="shared" si="2"/>
        <v>7303.5099999999993</v>
      </c>
      <c r="AL11" s="165">
        <f t="shared" si="3"/>
        <v>743.79700000000003</v>
      </c>
      <c r="AM11" s="164">
        <f t="shared" si="4"/>
        <v>6559.7129999999997</v>
      </c>
      <c r="AN11" s="165">
        <f t="shared" si="5"/>
        <v>0</v>
      </c>
      <c r="AO11" s="165">
        <f t="shared" si="6"/>
        <v>10.2256</v>
      </c>
      <c r="AP11" s="164">
        <f t="shared" si="7"/>
        <v>7448.1955999999991</v>
      </c>
      <c r="AQ11" s="180"/>
      <c r="AR11" s="181" t="s">
        <v>223</v>
      </c>
      <c r="AS11" s="182" t="s">
        <v>68</v>
      </c>
      <c r="AT11" s="183">
        <v>438.24</v>
      </c>
      <c r="AU11" s="183">
        <v>73.040000000000006</v>
      </c>
      <c r="AV11" s="183">
        <v>511.28</v>
      </c>
      <c r="AW11" s="184">
        <v>-66.069999999999993</v>
      </c>
      <c r="AX11" s="184">
        <v>-0.05</v>
      </c>
      <c r="AY11" s="183">
        <v>-66.12</v>
      </c>
      <c r="AZ11" s="183">
        <v>577.4</v>
      </c>
      <c r="BC11" s="198"/>
      <c r="BD11" s="205"/>
      <c r="BG11" s="102" t="s">
        <v>185</v>
      </c>
      <c r="BH11" s="102" t="s">
        <v>189</v>
      </c>
      <c r="BI11" s="160" t="s">
        <v>40</v>
      </c>
      <c r="BJ11" s="102" t="s">
        <v>47</v>
      </c>
      <c r="BK11" s="102"/>
      <c r="BL11" s="102"/>
      <c r="BM11" s="161">
        <v>511.28</v>
      </c>
      <c r="BN11" s="161">
        <v>0</v>
      </c>
      <c r="BO11" s="161">
        <f t="shared" si="8"/>
        <v>511.28</v>
      </c>
      <c r="BP11" s="189">
        <v>50.58</v>
      </c>
      <c r="BQ11" s="162"/>
      <c r="BR11" s="162"/>
      <c r="BS11" s="163"/>
      <c r="BT11" s="164">
        <f t="shared" si="9"/>
        <v>561.86</v>
      </c>
      <c r="BU11" s="162"/>
      <c r="BV11" s="165"/>
      <c r="BW11" s="165"/>
      <c r="BX11" s="162"/>
      <c r="BY11" s="161">
        <v>134.46</v>
      </c>
      <c r="BZ11" s="164">
        <f t="shared" si="10"/>
        <v>427.4</v>
      </c>
      <c r="CA11" s="165">
        <f t="shared" si="11"/>
        <v>0</v>
      </c>
      <c r="CB11" s="164">
        <f t="shared" si="12"/>
        <v>427.4</v>
      </c>
      <c r="CC11" s="165">
        <f t="shared" si="13"/>
        <v>56.186000000000007</v>
      </c>
      <c r="CD11" s="165">
        <f t="shared" si="14"/>
        <v>10.2256</v>
      </c>
      <c r="CE11" s="164">
        <f t="shared" si="15"/>
        <v>628.27160000000003</v>
      </c>
      <c r="CF11" s="166"/>
      <c r="CG11" s="159"/>
      <c r="CH11" s="159"/>
      <c r="CI11" s="167">
        <f t="shared" si="16"/>
        <v>-427.4</v>
      </c>
      <c r="CJ11" s="166" t="s">
        <v>258</v>
      </c>
      <c r="CK11" s="166"/>
      <c r="CL11" s="166"/>
      <c r="CM11" s="166"/>
      <c r="CN11" s="166" t="s">
        <v>304</v>
      </c>
      <c r="CO11" s="166"/>
      <c r="CP11" s="166"/>
    </row>
    <row r="12" spans="1:94" s="185" customFormat="1" hidden="1" x14ac:dyDescent="0.25">
      <c r="A12" s="190" t="s">
        <v>224</v>
      </c>
      <c r="B12" s="191" t="s">
        <v>214</v>
      </c>
      <c r="C12" s="178">
        <f t="shared" si="17"/>
        <v>700</v>
      </c>
      <c r="D12" s="178">
        <v>0</v>
      </c>
      <c r="E12" s="178">
        <f t="shared" si="18"/>
        <v>0</v>
      </c>
      <c r="F12" s="178">
        <f t="shared" si="19"/>
        <v>0</v>
      </c>
      <c r="G12" s="178">
        <f t="shared" si="20"/>
        <v>0</v>
      </c>
      <c r="H12" s="178">
        <f t="shared" si="21"/>
        <v>0</v>
      </c>
      <c r="I12" s="178">
        <f t="shared" si="22"/>
        <v>0</v>
      </c>
      <c r="J12" s="178">
        <f t="shared" si="23"/>
        <v>700</v>
      </c>
      <c r="K12" s="178">
        <f t="shared" si="24"/>
        <v>700</v>
      </c>
      <c r="L12" s="178">
        <f t="shared" si="25"/>
        <v>70</v>
      </c>
      <c r="M12" s="178">
        <f>+'C&amp;A'!E13*0.02</f>
        <v>10.2256</v>
      </c>
      <c r="N12" s="178">
        <f t="shared" si="26"/>
        <v>780.22559999999999</v>
      </c>
      <c r="O12" s="178">
        <f t="shared" si="27"/>
        <v>124.836096</v>
      </c>
      <c r="P12" s="178">
        <f t="shared" si="28"/>
        <v>905.06169599999998</v>
      </c>
      <c r="Q12" s="179">
        <f>+K12-'C&amp;A'!J13-SINDICATO!L13</f>
        <v>0</v>
      </c>
      <c r="R12" s="102" t="s">
        <v>180</v>
      </c>
      <c r="S12" s="102" t="s">
        <v>214</v>
      </c>
      <c r="T12" s="160"/>
      <c r="U12" s="102" t="s">
        <v>47</v>
      </c>
      <c r="V12" s="102"/>
      <c r="W12" s="102"/>
      <c r="X12" s="161">
        <v>700</v>
      </c>
      <c r="Y12" s="161">
        <v>0</v>
      </c>
      <c r="Z12" s="161">
        <f t="shared" si="0"/>
        <v>700</v>
      </c>
      <c r="AA12" s="162"/>
      <c r="AB12" s="162"/>
      <c r="AC12" s="162"/>
      <c r="AD12" s="163"/>
      <c r="AE12" s="164">
        <f t="shared" si="1"/>
        <v>700</v>
      </c>
      <c r="AF12" s="162"/>
      <c r="AG12" s="165"/>
      <c r="AH12" s="165"/>
      <c r="AI12" s="162"/>
      <c r="AJ12" s="161"/>
      <c r="AK12" s="164">
        <f t="shared" si="2"/>
        <v>700</v>
      </c>
      <c r="AL12" s="165">
        <f t="shared" si="3"/>
        <v>0</v>
      </c>
      <c r="AM12" s="164">
        <f t="shared" si="4"/>
        <v>700</v>
      </c>
      <c r="AN12" s="165">
        <f t="shared" si="5"/>
        <v>70</v>
      </c>
      <c r="AO12" s="165">
        <f t="shared" si="6"/>
        <v>14</v>
      </c>
      <c r="AP12" s="164">
        <f t="shared" si="7"/>
        <v>784</v>
      </c>
      <c r="AQ12" s="180"/>
      <c r="AR12" s="181" t="s">
        <v>224</v>
      </c>
      <c r="AS12" s="182" t="s">
        <v>216</v>
      </c>
      <c r="AT12" s="183">
        <v>438.24</v>
      </c>
      <c r="AU12" s="183">
        <v>73.040000000000006</v>
      </c>
      <c r="AV12" s="183">
        <v>511.28</v>
      </c>
      <c r="AW12" s="184">
        <v>-66.069999999999993</v>
      </c>
      <c r="AX12" s="184">
        <v>-0.05</v>
      </c>
      <c r="AY12" s="183">
        <v>-66.12</v>
      </c>
      <c r="AZ12" s="183">
        <v>577.4</v>
      </c>
      <c r="BC12" s="198"/>
      <c r="BD12" s="205"/>
      <c r="BG12" s="102" t="s">
        <v>180</v>
      </c>
      <c r="BH12" s="102" t="s">
        <v>214</v>
      </c>
      <c r="BI12" s="160"/>
      <c r="BJ12" s="102" t="s">
        <v>47</v>
      </c>
      <c r="BK12" s="102"/>
      <c r="BL12" s="102"/>
      <c r="BM12" s="161">
        <v>511.28</v>
      </c>
      <c r="BN12" s="161">
        <v>188.72000000000003</v>
      </c>
      <c r="BO12" s="161">
        <f t="shared" si="8"/>
        <v>700</v>
      </c>
      <c r="BP12" s="162"/>
      <c r="BQ12" s="162"/>
      <c r="BR12" s="162"/>
      <c r="BS12" s="163"/>
      <c r="BT12" s="164">
        <f t="shared" si="9"/>
        <v>700</v>
      </c>
      <c r="BU12" s="162"/>
      <c r="BV12" s="165"/>
      <c r="BW12" s="165"/>
      <c r="BX12" s="162"/>
      <c r="BY12" s="161"/>
      <c r="BZ12" s="164">
        <f t="shared" si="10"/>
        <v>700</v>
      </c>
      <c r="CA12" s="165">
        <f t="shared" si="11"/>
        <v>0</v>
      </c>
      <c r="CB12" s="164">
        <f t="shared" si="12"/>
        <v>700</v>
      </c>
      <c r="CC12" s="165">
        <f t="shared" si="13"/>
        <v>70</v>
      </c>
      <c r="CD12" s="165">
        <f t="shared" si="14"/>
        <v>10.2256</v>
      </c>
      <c r="CE12" s="164">
        <f t="shared" si="15"/>
        <v>780.22559999999999</v>
      </c>
      <c r="CF12" s="166"/>
      <c r="CG12" s="159"/>
      <c r="CH12" s="159"/>
      <c r="CI12" s="167">
        <f t="shared" si="16"/>
        <v>-700</v>
      </c>
      <c r="CJ12" s="168">
        <v>2858200513</v>
      </c>
      <c r="CK12" s="166"/>
      <c r="CL12" s="166"/>
      <c r="CM12" s="166"/>
      <c r="CN12" s="166" t="s">
        <v>303</v>
      </c>
      <c r="CO12" s="166"/>
      <c r="CP12" s="166"/>
    </row>
    <row r="13" spans="1:94" s="185" customFormat="1" hidden="1" x14ac:dyDescent="0.25">
      <c r="A13" s="176" t="s">
        <v>35</v>
      </c>
      <c r="B13" s="177" t="s">
        <v>34</v>
      </c>
      <c r="C13" s="178">
        <f t="shared" si="17"/>
        <v>1750</v>
      </c>
      <c r="D13" s="178">
        <v>0</v>
      </c>
      <c r="E13" s="178">
        <f t="shared" si="18"/>
        <v>0</v>
      </c>
      <c r="F13" s="178">
        <f t="shared" si="19"/>
        <v>0</v>
      </c>
      <c r="G13" s="178">
        <f t="shared" si="20"/>
        <v>0</v>
      </c>
      <c r="H13" s="178">
        <f t="shared" si="21"/>
        <v>0</v>
      </c>
      <c r="I13" s="178">
        <f t="shared" si="22"/>
        <v>0</v>
      </c>
      <c r="J13" s="178">
        <f t="shared" si="23"/>
        <v>1750</v>
      </c>
      <c r="K13" s="178">
        <f t="shared" si="24"/>
        <v>1750</v>
      </c>
      <c r="L13" s="178">
        <f t="shared" si="25"/>
        <v>175</v>
      </c>
      <c r="M13" s="178">
        <f>+'C&amp;A'!E14*0.02</f>
        <v>10.2256</v>
      </c>
      <c r="N13" s="178">
        <f t="shared" si="26"/>
        <v>1935.2256</v>
      </c>
      <c r="O13" s="178">
        <f t="shared" si="27"/>
        <v>309.63609600000001</v>
      </c>
      <c r="P13" s="178">
        <f t="shared" si="28"/>
        <v>2244.8616959999999</v>
      </c>
      <c r="Q13" s="179">
        <f>+K13-'C&amp;A'!J14-SINDICATO!L14</f>
        <v>0</v>
      </c>
      <c r="R13" s="102" t="s">
        <v>176</v>
      </c>
      <c r="S13" s="102" t="s">
        <v>34</v>
      </c>
      <c r="T13" s="160" t="s">
        <v>35</v>
      </c>
      <c r="U13" s="102" t="s">
        <v>45</v>
      </c>
      <c r="V13" s="102"/>
      <c r="W13" s="102"/>
      <c r="X13" s="161">
        <v>511.28</v>
      </c>
      <c r="Y13" s="161">
        <v>1238.72</v>
      </c>
      <c r="Z13" s="161">
        <f t="shared" si="0"/>
        <v>1750</v>
      </c>
      <c r="AA13" s="162"/>
      <c r="AB13" s="162"/>
      <c r="AC13" s="162"/>
      <c r="AD13" s="163"/>
      <c r="AE13" s="164">
        <f t="shared" si="1"/>
        <v>1750</v>
      </c>
      <c r="AF13" s="162"/>
      <c r="AG13" s="165"/>
      <c r="AH13" s="165"/>
      <c r="AI13" s="162"/>
      <c r="AJ13" s="161">
        <v>0</v>
      </c>
      <c r="AK13" s="164">
        <f t="shared" si="2"/>
        <v>1750</v>
      </c>
      <c r="AL13" s="165">
        <f t="shared" si="3"/>
        <v>0</v>
      </c>
      <c r="AM13" s="164">
        <f t="shared" si="4"/>
        <v>1750</v>
      </c>
      <c r="AN13" s="165">
        <f t="shared" si="5"/>
        <v>175</v>
      </c>
      <c r="AO13" s="165">
        <f t="shared" si="6"/>
        <v>10.2256</v>
      </c>
      <c r="AP13" s="164">
        <f t="shared" si="7"/>
        <v>1935.2256</v>
      </c>
      <c r="AQ13" s="180"/>
      <c r="AR13" s="181" t="s">
        <v>225</v>
      </c>
      <c r="AS13" s="182" t="s">
        <v>69</v>
      </c>
      <c r="AT13" s="183">
        <v>438.24</v>
      </c>
      <c r="AU13" s="183">
        <v>73.040000000000006</v>
      </c>
      <c r="AV13" s="183">
        <v>511.28</v>
      </c>
      <c r="AW13" s="184">
        <v>-66.069999999999993</v>
      </c>
      <c r="AX13" s="184">
        <v>-0.05</v>
      </c>
      <c r="AY13" s="183">
        <v>-66.12</v>
      </c>
      <c r="AZ13" s="183">
        <v>577.4</v>
      </c>
      <c r="BC13" s="198"/>
      <c r="BD13" s="205"/>
      <c r="BG13" s="102" t="s">
        <v>176</v>
      </c>
      <c r="BH13" s="102" t="s">
        <v>34</v>
      </c>
      <c r="BI13" s="160" t="s">
        <v>35</v>
      </c>
      <c r="BJ13" s="102" t="s">
        <v>45</v>
      </c>
      <c r="BK13" s="102"/>
      <c r="BL13" s="102"/>
      <c r="BM13" s="161">
        <v>511.28</v>
      </c>
      <c r="BN13" s="161">
        <v>1238.72</v>
      </c>
      <c r="BO13" s="161">
        <f t="shared" si="8"/>
        <v>1750</v>
      </c>
      <c r="BP13" s="162"/>
      <c r="BQ13" s="162"/>
      <c r="BR13" s="162"/>
      <c r="BS13" s="163"/>
      <c r="BT13" s="164">
        <f t="shared" si="9"/>
        <v>1750</v>
      </c>
      <c r="BU13" s="162"/>
      <c r="BV13" s="165"/>
      <c r="BW13" s="165"/>
      <c r="BX13" s="162"/>
      <c r="BY13" s="161">
        <v>0</v>
      </c>
      <c r="BZ13" s="164">
        <f t="shared" si="10"/>
        <v>1750</v>
      </c>
      <c r="CA13" s="165">
        <f t="shared" si="11"/>
        <v>0</v>
      </c>
      <c r="CB13" s="164">
        <f t="shared" si="12"/>
        <v>1750</v>
      </c>
      <c r="CC13" s="165">
        <f t="shared" si="13"/>
        <v>175</v>
      </c>
      <c r="CD13" s="165">
        <f t="shared" si="14"/>
        <v>10.2256</v>
      </c>
      <c r="CE13" s="164">
        <f t="shared" si="15"/>
        <v>1935.2256</v>
      </c>
      <c r="CF13" s="166"/>
      <c r="CG13" s="159"/>
      <c r="CH13" s="159"/>
      <c r="CI13" s="167">
        <f t="shared" si="16"/>
        <v>-1750</v>
      </c>
      <c r="CJ13" s="166" t="s">
        <v>259</v>
      </c>
      <c r="CK13" s="166"/>
      <c r="CL13" s="166"/>
      <c r="CM13" s="166"/>
      <c r="CN13" s="166" t="s">
        <v>306</v>
      </c>
      <c r="CO13" s="166"/>
      <c r="CP13" s="166"/>
    </row>
    <row r="14" spans="1:94" s="185" customFormat="1" hidden="1" x14ac:dyDescent="0.25">
      <c r="A14" s="176" t="s">
        <v>48</v>
      </c>
      <c r="B14" s="187" t="s">
        <v>100</v>
      </c>
      <c r="C14" s="178">
        <f t="shared" si="17"/>
        <v>511.28</v>
      </c>
      <c r="D14" s="178">
        <v>66.069999999999993</v>
      </c>
      <c r="E14" s="178">
        <f t="shared" si="18"/>
        <v>0</v>
      </c>
      <c r="F14" s="178">
        <f t="shared" si="19"/>
        <v>0</v>
      </c>
      <c r="G14" s="178">
        <f t="shared" si="20"/>
        <v>0</v>
      </c>
      <c r="H14" s="178">
        <f t="shared" si="21"/>
        <v>127.82</v>
      </c>
      <c r="I14" s="178">
        <f t="shared" si="22"/>
        <v>0</v>
      </c>
      <c r="J14" s="178">
        <f t="shared" si="23"/>
        <v>449.52999999999992</v>
      </c>
      <c r="K14" s="178">
        <f t="shared" si="24"/>
        <v>577.34999999999991</v>
      </c>
      <c r="L14" s="178">
        <f t="shared" si="25"/>
        <v>51.128</v>
      </c>
      <c r="M14" s="178">
        <f>+'C&amp;A'!E15*0.02</f>
        <v>10.2256</v>
      </c>
      <c r="N14" s="178">
        <f t="shared" si="26"/>
        <v>638.70359999999994</v>
      </c>
      <c r="O14" s="178">
        <f t="shared" si="27"/>
        <v>102.19257599999999</v>
      </c>
      <c r="P14" s="178">
        <f t="shared" si="28"/>
        <v>740.89617599999997</v>
      </c>
      <c r="Q14" s="179">
        <f>+K14-'C&amp;A'!J15-SINDICATO!L15</f>
        <v>127.76999999999987</v>
      </c>
      <c r="R14" s="102" t="s">
        <v>180</v>
      </c>
      <c r="S14" s="102" t="s">
        <v>181</v>
      </c>
      <c r="T14" s="160" t="s">
        <v>48</v>
      </c>
      <c r="U14" s="102" t="s">
        <v>47</v>
      </c>
      <c r="V14" s="102"/>
      <c r="W14" s="102"/>
      <c r="X14" s="161">
        <v>511.28</v>
      </c>
      <c r="Y14" s="161">
        <v>0</v>
      </c>
      <c r="Z14" s="161">
        <f t="shared" si="0"/>
        <v>511.28</v>
      </c>
      <c r="AA14" s="162">
        <v>2000</v>
      </c>
      <c r="AB14" s="162"/>
      <c r="AC14" s="162"/>
      <c r="AD14" s="163"/>
      <c r="AE14" s="164">
        <f t="shared" si="1"/>
        <v>2511.2799999999997</v>
      </c>
      <c r="AF14" s="162"/>
      <c r="AG14" s="165"/>
      <c r="AH14" s="165"/>
      <c r="AI14" s="162"/>
      <c r="AJ14" s="161">
        <v>1184.1199999999999</v>
      </c>
      <c r="AK14" s="164">
        <f t="shared" si="2"/>
        <v>1327.1599999999999</v>
      </c>
      <c r="AL14" s="165">
        <f t="shared" si="3"/>
        <v>0</v>
      </c>
      <c r="AM14" s="164">
        <f t="shared" si="4"/>
        <v>1327.1599999999999</v>
      </c>
      <c r="AN14" s="165">
        <f t="shared" si="5"/>
        <v>251.12799999999999</v>
      </c>
      <c r="AO14" s="165">
        <f t="shared" si="6"/>
        <v>10.2256</v>
      </c>
      <c r="AP14" s="164">
        <f t="shared" si="7"/>
        <v>2772.6336000000001</v>
      </c>
      <c r="AQ14" s="180"/>
      <c r="AR14" s="181" t="s">
        <v>226</v>
      </c>
      <c r="AS14" s="182" t="s">
        <v>70</v>
      </c>
      <c r="AT14" s="183">
        <v>438.24</v>
      </c>
      <c r="AU14" s="183">
        <v>73.040000000000006</v>
      </c>
      <c r="AV14" s="183">
        <v>511.28</v>
      </c>
      <c r="AW14" s="184">
        <v>-66.069999999999993</v>
      </c>
      <c r="AX14" s="183">
        <v>0.15</v>
      </c>
      <c r="AY14" s="183">
        <v>-65.92</v>
      </c>
      <c r="AZ14" s="183">
        <v>577.20000000000005</v>
      </c>
      <c r="BC14" s="198"/>
      <c r="BD14" s="205"/>
      <c r="BG14" s="102" t="s">
        <v>180</v>
      </c>
      <c r="BH14" s="102" t="s">
        <v>181</v>
      </c>
      <c r="BI14" s="160" t="s">
        <v>48</v>
      </c>
      <c r="BJ14" s="102" t="s">
        <v>47</v>
      </c>
      <c r="BK14" s="102"/>
      <c r="BL14" s="102"/>
      <c r="BM14" s="161">
        <v>511.28</v>
      </c>
      <c r="BN14" s="161">
        <v>0</v>
      </c>
      <c r="BO14" s="161">
        <f t="shared" si="8"/>
        <v>511.28</v>
      </c>
      <c r="BP14" s="162"/>
      <c r="BQ14" s="162"/>
      <c r="BR14" s="162"/>
      <c r="BS14" s="163"/>
      <c r="BT14" s="164">
        <f t="shared" si="9"/>
        <v>511.28</v>
      </c>
      <c r="BU14" s="162"/>
      <c r="BV14" s="165"/>
      <c r="BW14" s="165"/>
      <c r="BX14" s="162"/>
      <c r="BY14" s="161">
        <f>+BT14*0.25</f>
        <v>127.82</v>
      </c>
      <c r="BZ14" s="164">
        <f t="shared" si="10"/>
        <v>383.46</v>
      </c>
      <c r="CA14" s="165">
        <f t="shared" si="11"/>
        <v>0</v>
      </c>
      <c r="CB14" s="164">
        <f t="shared" si="12"/>
        <v>383.46</v>
      </c>
      <c r="CC14" s="165">
        <f t="shared" si="13"/>
        <v>51.128</v>
      </c>
      <c r="CD14" s="165">
        <f t="shared" si="14"/>
        <v>10.2256</v>
      </c>
      <c r="CE14" s="164">
        <f t="shared" si="15"/>
        <v>572.6336</v>
      </c>
      <c r="CF14" s="166" t="s">
        <v>260</v>
      </c>
      <c r="CG14" s="159"/>
      <c r="CH14" s="159"/>
      <c r="CI14" s="167">
        <f t="shared" si="16"/>
        <v>-383.46</v>
      </c>
      <c r="CJ14" s="166" t="s">
        <v>261</v>
      </c>
      <c r="CK14" s="166"/>
      <c r="CL14" s="166"/>
      <c r="CM14" s="166"/>
      <c r="CN14" s="166" t="s">
        <v>303</v>
      </c>
      <c r="CO14" s="166"/>
      <c r="CP14" s="166"/>
    </row>
    <row r="15" spans="1:94" s="185" customFormat="1" x14ac:dyDescent="0.25">
      <c r="A15" s="176" t="s">
        <v>49</v>
      </c>
      <c r="B15" s="187" t="s">
        <v>71</v>
      </c>
      <c r="C15" s="178">
        <f t="shared" si="17"/>
        <v>700</v>
      </c>
      <c r="D15" s="178">
        <v>0</v>
      </c>
      <c r="E15" s="178">
        <f t="shared" si="18"/>
        <v>7078.84</v>
      </c>
      <c r="F15" s="178">
        <f t="shared" si="19"/>
        <v>0</v>
      </c>
      <c r="G15" s="178">
        <f t="shared" si="20"/>
        <v>0</v>
      </c>
      <c r="H15" s="178">
        <f t="shared" si="21"/>
        <v>323.13</v>
      </c>
      <c r="I15" s="178">
        <f t="shared" si="22"/>
        <v>777.88400000000001</v>
      </c>
      <c r="J15" s="178">
        <f t="shared" si="23"/>
        <v>6677.826</v>
      </c>
      <c r="K15" s="178">
        <f t="shared" si="24"/>
        <v>7778.84</v>
      </c>
      <c r="L15" s="178">
        <f t="shared" si="25"/>
        <v>0</v>
      </c>
      <c r="M15" s="178">
        <f>+'C&amp;A'!E16*0.02</f>
        <v>10.2256</v>
      </c>
      <c r="N15" s="178">
        <f t="shared" si="26"/>
        <v>7789.0655999999999</v>
      </c>
      <c r="O15" s="178">
        <f t="shared" si="27"/>
        <v>1246.2504960000001</v>
      </c>
      <c r="P15" s="178">
        <f t="shared" si="28"/>
        <v>9035.3160960000005</v>
      </c>
      <c r="Q15" s="179">
        <f>+K15-'C&amp;A'!J16-SINDICATO!L16</f>
        <v>1101.0140000000001</v>
      </c>
      <c r="R15" s="102" t="s">
        <v>185</v>
      </c>
      <c r="S15" s="102" t="s">
        <v>192</v>
      </c>
      <c r="T15" s="160" t="s">
        <v>49</v>
      </c>
      <c r="U15" s="102" t="s">
        <v>47</v>
      </c>
      <c r="V15" s="102"/>
      <c r="W15" s="102"/>
      <c r="X15" s="161">
        <v>511.28</v>
      </c>
      <c r="Y15" s="161">
        <v>188.72000000000003</v>
      </c>
      <c r="Z15" s="161">
        <f t="shared" si="0"/>
        <v>700</v>
      </c>
      <c r="AA15" s="162"/>
      <c r="AB15" s="162"/>
      <c r="AC15" s="162"/>
      <c r="AD15" s="163"/>
      <c r="AE15" s="164">
        <f t="shared" si="1"/>
        <v>700</v>
      </c>
      <c r="AF15" s="162"/>
      <c r="AG15" s="165"/>
      <c r="AH15" s="165"/>
      <c r="AI15" s="162"/>
      <c r="AJ15" s="161">
        <v>323.13</v>
      </c>
      <c r="AK15" s="164">
        <f t="shared" si="2"/>
        <v>376.87</v>
      </c>
      <c r="AL15" s="165">
        <f t="shared" si="3"/>
        <v>0</v>
      </c>
      <c r="AM15" s="164">
        <f t="shared" si="4"/>
        <v>376.87</v>
      </c>
      <c r="AN15" s="165">
        <f t="shared" si="5"/>
        <v>70</v>
      </c>
      <c r="AO15" s="165">
        <f t="shared" si="6"/>
        <v>10.2256</v>
      </c>
      <c r="AP15" s="164">
        <f t="shared" si="7"/>
        <v>780.22559999999999</v>
      </c>
      <c r="AQ15" s="180"/>
      <c r="AR15" s="181" t="s">
        <v>227</v>
      </c>
      <c r="AS15" s="182" t="s">
        <v>71</v>
      </c>
      <c r="AT15" s="183">
        <v>438.24</v>
      </c>
      <c r="AU15" s="183">
        <v>73.040000000000006</v>
      </c>
      <c r="AV15" s="183">
        <v>511.28</v>
      </c>
      <c r="AW15" s="184">
        <v>-66.069999999999993</v>
      </c>
      <c r="AX15" s="183">
        <v>0.15</v>
      </c>
      <c r="AY15" s="183">
        <v>-65.92</v>
      </c>
      <c r="AZ15" s="183">
        <v>577.20000000000005</v>
      </c>
      <c r="BC15" s="198"/>
      <c r="BD15" s="205"/>
      <c r="BG15" s="102" t="s">
        <v>185</v>
      </c>
      <c r="BH15" s="102" t="s">
        <v>192</v>
      </c>
      <c r="BI15" s="160" t="s">
        <v>49</v>
      </c>
      <c r="BJ15" s="102" t="s">
        <v>47</v>
      </c>
      <c r="BK15" s="102"/>
      <c r="BL15" s="102"/>
      <c r="BM15" s="161">
        <v>511.28</v>
      </c>
      <c r="BN15" s="161">
        <v>188.72000000000003</v>
      </c>
      <c r="BO15" s="161">
        <f t="shared" si="8"/>
        <v>700</v>
      </c>
      <c r="BP15" s="188">
        <v>7078.84</v>
      </c>
      <c r="BQ15" s="162"/>
      <c r="BR15" s="162"/>
      <c r="BS15" s="163"/>
      <c r="BT15" s="164">
        <f t="shared" si="9"/>
        <v>7778.84</v>
      </c>
      <c r="BU15" s="162"/>
      <c r="BV15" s="165"/>
      <c r="BW15" s="165"/>
      <c r="BX15" s="162"/>
      <c r="BY15" s="161">
        <v>323.13</v>
      </c>
      <c r="BZ15" s="164">
        <f t="shared" si="10"/>
        <v>7455.71</v>
      </c>
      <c r="CA15" s="165">
        <f t="shared" si="11"/>
        <v>777.88400000000001</v>
      </c>
      <c r="CB15" s="164">
        <f t="shared" si="12"/>
        <v>6677.826</v>
      </c>
      <c r="CC15" s="165">
        <f t="shared" si="13"/>
        <v>0</v>
      </c>
      <c r="CD15" s="165">
        <f t="shared" si="14"/>
        <v>10.2256</v>
      </c>
      <c r="CE15" s="164">
        <f t="shared" si="15"/>
        <v>7789.0655999999999</v>
      </c>
      <c r="CF15" s="166"/>
      <c r="CG15" s="159"/>
      <c r="CH15" s="159"/>
      <c r="CI15" s="167">
        <f t="shared" si="16"/>
        <v>-6677.826</v>
      </c>
      <c r="CJ15" s="166" t="s">
        <v>262</v>
      </c>
      <c r="CK15" s="166"/>
      <c r="CL15" s="166"/>
      <c r="CM15" s="166"/>
      <c r="CN15" s="166" t="s">
        <v>304</v>
      </c>
      <c r="CO15" s="166"/>
      <c r="CP15" s="166"/>
    </row>
    <row r="16" spans="1:94" s="21" customFormat="1" x14ac:dyDescent="0.25">
      <c r="A16" s="176" t="s">
        <v>292</v>
      </c>
      <c r="B16" s="187" t="s">
        <v>294</v>
      </c>
      <c r="C16" s="178">
        <f t="shared" si="17"/>
        <v>511.28</v>
      </c>
      <c r="D16" s="178"/>
      <c r="E16" s="178">
        <f t="shared" si="18"/>
        <v>1135.72</v>
      </c>
      <c r="F16" s="178">
        <f t="shared" si="19"/>
        <v>0</v>
      </c>
      <c r="G16" s="178">
        <f t="shared" si="20"/>
        <v>0</v>
      </c>
      <c r="H16" s="178">
        <f t="shared" si="21"/>
        <v>0</v>
      </c>
      <c r="I16" s="178">
        <f t="shared" si="22"/>
        <v>0</v>
      </c>
      <c r="J16" s="178">
        <f t="shared" si="23"/>
        <v>1647</v>
      </c>
      <c r="K16" s="178">
        <f t="shared" si="24"/>
        <v>1647</v>
      </c>
      <c r="L16" s="178">
        <f t="shared" si="25"/>
        <v>164.70000000000002</v>
      </c>
      <c r="M16" s="178">
        <f>+'C&amp;A'!E17*0.02</f>
        <v>9.5592000000000006</v>
      </c>
      <c r="N16" s="178">
        <f t="shared" si="26"/>
        <v>1821.2592</v>
      </c>
      <c r="O16" s="178">
        <f t="shared" si="27"/>
        <v>291.40147200000001</v>
      </c>
      <c r="P16" s="178">
        <f t="shared" si="28"/>
        <v>2112.660672</v>
      </c>
      <c r="Q16" s="179"/>
      <c r="R16" s="102"/>
      <c r="S16" s="102"/>
      <c r="T16" s="160"/>
      <c r="U16" s="102"/>
      <c r="V16" s="102"/>
      <c r="W16" s="102"/>
      <c r="X16" s="161"/>
      <c r="Y16" s="161"/>
      <c r="Z16" s="161"/>
      <c r="AA16" s="162"/>
      <c r="AB16" s="162"/>
      <c r="AC16" s="162"/>
      <c r="AD16" s="163"/>
      <c r="AE16" s="164"/>
      <c r="AF16" s="162"/>
      <c r="AG16" s="165"/>
      <c r="AH16" s="165"/>
      <c r="AI16" s="162"/>
      <c r="AJ16" s="161"/>
      <c r="AK16" s="164"/>
      <c r="AL16" s="165"/>
      <c r="AM16" s="164"/>
      <c r="AN16" s="165"/>
      <c r="AO16" s="165"/>
      <c r="AP16" s="164"/>
      <c r="AQ16" s="180"/>
      <c r="AR16" s="181"/>
      <c r="AS16" s="182"/>
      <c r="AT16" s="183"/>
      <c r="AU16" s="183"/>
      <c r="AV16" s="183"/>
      <c r="AW16" s="184"/>
      <c r="AX16" s="183"/>
      <c r="AY16" s="183"/>
      <c r="AZ16" s="183"/>
      <c r="BA16" s="185"/>
      <c r="BB16" s="185"/>
      <c r="BC16" s="198"/>
      <c r="BD16" s="205"/>
      <c r="BE16" s="185"/>
      <c r="BF16" s="185"/>
      <c r="BG16" s="86" t="s">
        <v>180</v>
      </c>
      <c r="BH16" s="23" t="s">
        <v>263</v>
      </c>
      <c r="BI16" s="133"/>
      <c r="BJ16" s="104" t="s">
        <v>47</v>
      </c>
      <c r="BK16" s="104"/>
      <c r="BL16" s="104"/>
      <c r="BM16" s="134">
        <v>511.28</v>
      </c>
      <c r="BN16" s="134"/>
      <c r="BO16" s="134">
        <f t="shared" si="8"/>
        <v>511.28</v>
      </c>
      <c r="BP16" s="156">
        <f>624.44+511.28</f>
        <v>1135.72</v>
      </c>
      <c r="BQ16" s="91"/>
      <c r="BR16" s="91"/>
      <c r="BS16" s="93"/>
      <c r="BT16" s="94">
        <f t="shared" si="9"/>
        <v>1647</v>
      </c>
      <c r="BU16" s="95"/>
      <c r="BV16" s="96"/>
      <c r="BW16" s="96"/>
      <c r="BX16" s="91"/>
      <c r="BY16" s="89"/>
      <c r="BZ16" s="94">
        <f t="shared" si="10"/>
        <v>1647</v>
      </c>
      <c r="CA16" s="97">
        <f t="shared" si="11"/>
        <v>0</v>
      </c>
      <c r="CB16" s="94">
        <f t="shared" si="12"/>
        <v>1647</v>
      </c>
      <c r="CC16" s="98">
        <f t="shared" si="13"/>
        <v>164.70000000000002</v>
      </c>
      <c r="CD16" s="97">
        <f t="shared" si="14"/>
        <v>10.2256</v>
      </c>
      <c r="CE16" s="94">
        <f t="shared" si="15"/>
        <v>1821.9256</v>
      </c>
      <c r="CF16" s="99"/>
      <c r="CG16" s="159"/>
      <c r="CH16" s="159"/>
      <c r="CI16" s="155">
        <f t="shared" si="16"/>
        <v>-1647</v>
      </c>
      <c r="CJ16" s="158">
        <v>1449517286</v>
      </c>
      <c r="CK16" s="99"/>
      <c r="CL16" s="99"/>
      <c r="CM16" s="99"/>
      <c r="CN16" s="166" t="s">
        <v>304</v>
      </c>
      <c r="CO16" s="99"/>
      <c r="CP16" s="99"/>
    </row>
    <row r="17" spans="1:94" s="185" customFormat="1" x14ac:dyDescent="0.25">
      <c r="A17" s="176" t="s">
        <v>72</v>
      </c>
      <c r="B17" s="187" t="s">
        <v>73</v>
      </c>
      <c r="C17" s="178">
        <f t="shared" si="17"/>
        <v>1633.33</v>
      </c>
      <c r="D17" s="178">
        <v>0</v>
      </c>
      <c r="E17" s="178">
        <f t="shared" si="18"/>
        <v>40802.559999999998</v>
      </c>
      <c r="F17" s="178">
        <f t="shared" si="19"/>
        <v>0</v>
      </c>
      <c r="G17" s="178">
        <f t="shared" si="20"/>
        <v>0</v>
      </c>
      <c r="H17" s="178">
        <f t="shared" si="21"/>
        <v>0</v>
      </c>
      <c r="I17" s="178">
        <f t="shared" si="22"/>
        <v>4243.5889999999999</v>
      </c>
      <c r="J17" s="178">
        <f t="shared" si="23"/>
        <v>38192.300999999999</v>
      </c>
      <c r="K17" s="178">
        <f t="shared" si="24"/>
        <v>42435.89</v>
      </c>
      <c r="L17" s="178">
        <f t="shared" si="25"/>
        <v>0</v>
      </c>
      <c r="M17" s="178">
        <f>+'C&amp;A'!E18*0.02</f>
        <v>10.2256</v>
      </c>
      <c r="N17" s="178">
        <f t="shared" si="26"/>
        <v>42446.115599999997</v>
      </c>
      <c r="O17" s="178">
        <f t="shared" si="27"/>
        <v>6791.3784959999994</v>
      </c>
      <c r="P17" s="178">
        <f t="shared" si="28"/>
        <v>49237.494095999995</v>
      </c>
      <c r="Q17" s="179">
        <f>+K17-'C&amp;A'!J18-SINDICATO!L18</f>
        <v>4243.5889999999999</v>
      </c>
      <c r="R17" s="102" t="s">
        <v>185</v>
      </c>
      <c r="S17" s="102" t="s">
        <v>186</v>
      </c>
      <c r="T17" s="160">
        <v>5</v>
      </c>
      <c r="U17" s="102" t="s">
        <v>187</v>
      </c>
      <c r="V17" s="102"/>
      <c r="W17" s="102"/>
      <c r="X17" s="161">
        <v>511.28</v>
      </c>
      <c r="Y17" s="161">
        <v>0</v>
      </c>
      <c r="Z17" s="161">
        <f t="shared" si="0"/>
        <v>511.28</v>
      </c>
      <c r="AA17" s="162">
        <v>2092.7600000000002</v>
      </c>
      <c r="AB17" s="192"/>
      <c r="AC17" s="162"/>
      <c r="AD17" s="163"/>
      <c r="AE17" s="164">
        <f t="shared" si="1"/>
        <v>2604.04</v>
      </c>
      <c r="AF17" s="162"/>
      <c r="AG17" s="165"/>
      <c r="AH17" s="165"/>
      <c r="AI17" s="162"/>
      <c r="AJ17" s="161">
        <v>0</v>
      </c>
      <c r="AK17" s="164">
        <f t="shared" si="2"/>
        <v>2604.04</v>
      </c>
      <c r="AL17" s="165">
        <f t="shared" si="3"/>
        <v>0</v>
      </c>
      <c r="AM17" s="164">
        <f t="shared" si="4"/>
        <v>2604.04</v>
      </c>
      <c r="AN17" s="165">
        <f t="shared" si="5"/>
        <v>260.404</v>
      </c>
      <c r="AO17" s="165">
        <f t="shared" si="6"/>
        <v>10.2256</v>
      </c>
      <c r="AP17" s="164">
        <f t="shared" si="7"/>
        <v>2874.6696000000002</v>
      </c>
      <c r="AQ17" s="180"/>
      <c r="AR17" s="181" t="s">
        <v>228</v>
      </c>
      <c r="AS17" s="182" t="s">
        <v>73</v>
      </c>
      <c r="AT17" s="183">
        <v>438.24</v>
      </c>
      <c r="AU17" s="183">
        <v>73.040000000000006</v>
      </c>
      <c r="AV17" s="183">
        <v>511.28</v>
      </c>
      <c r="AW17" s="184">
        <v>-66.069999999999993</v>
      </c>
      <c r="AX17" s="184">
        <v>-0.05</v>
      </c>
      <c r="AY17" s="183">
        <v>-66.12</v>
      </c>
      <c r="AZ17" s="183">
        <v>577.4</v>
      </c>
      <c r="BC17" s="198"/>
      <c r="BD17" s="205"/>
      <c r="BG17" s="102" t="s">
        <v>185</v>
      </c>
      <c r="BH17" s="102" t="s">
        <v>186</v>
      </c>
      <c r="BI17" s="160">
        <v>5</v>
      </c>
      <c r="BJ17" s="102" t="s">
        <v>187</v>
      </c>
      <c r="BK17" s="102"/>
      <c r="BL17" s="102"/>
      <c r="BM17" s="161">
        <v>511.28</v>
      </c>
      <c r="BN17" s="161">
        <v>1122.05</v>
      </c>
      <c r="BO17" s="161">
        <f t="shared" si="8"/>
        <v>1633.33</v>
      </c>
      <c r="BP17" s="188">
        <v>40802.559999999998</v>
      </c>
      <c r="BQ17" s="192"/>
      <c r="BR17" s="162"/>
      <c r="BS17" s="163"/>
      <c r="BT17" s="164">
        <f t="shared" si="9"/>
        <v>42435.89</v>
      </c>
      <c r="BU17" s="162"/>
      <c r="BV17" s="165"/>
      <c r="BW17" s="165"/>
      <c r="BX17" s="162"/>
      <c r="BY17" s="161">
        <v>0</v>
      </c>
      <c r="BZ17" s="164">
        <f t="shared" si="10"/>
        <v>42435.89</v>
      </c>
      <c r="CA17" s="165">
        <f t="shared" si="11"/>
        <v>4243.5889999999999</v>
      </c>
      <c r="CB17" s="164">
        <f t="shared" si="12"/>
        <v>38192.300999999999</v>
      </c>
      <c r="CC17" s="165">
        <f t="shared" si="13"/>
        <v>0</v>
      </c>
      <c r="CD17" s="165">
        <f t="shared" si="14"/>
        <v>10.2256</v>
      </c>
      <c r="CE17" s="164">
        <f t="shared" si="15"/>
        <v>42446.115599999997</v>
      </c>
      <c r="CF17" s="166"/>
      <c r="CG17" s="159"/>
      <c r="CH17" s="159"/>
      <c r="CI17" s="167">
        <f t="shared" si="16"/>
        <v>-38192.300999999999</v>
      </c>
      <c r="CJ17" s="166" t="s">
        <v>264</v>
      </c>
      <c r="CK17" s="166"/>
      <c r="CL17" s="166"/>
      <c r="CM17" s="166"/>
      <c r="CN17" s="166" t="s">
        <v>304</v>
      </c>
      <c r="CO17" s="166"/>
      <c r="CP17" s="166"/>
    </row>
    <row r="18" spans="1:94" s="185" customFormat="1" x14ac:dyDescent="0.25">
      <c r="A18" s="176" t="s">
        <v>50</v>
      </c>
      <c r="B18" s="187" t="s">
        <v>104</v>
      </c>
      <c r="C18" s="178">
        <f t="shared" si="17"/>
        <v>511.28</v>
      </c>
      <c r="D18" s="178">
        <f>-'C&amp;A'!F19</f>
        <v>66.069999999999993</v>
      </c>
      <c r="E18" s="178">
        <f t="shared" si="18"/>
        <v>0</v>
      </c>
      <c r="F18" s="178">
        <f t="shared" si="19"/>
        <v>0</v>
      </c>
      <c r="G18" s="178">
        <f t="shared" si="20"/>
        <v>0</v>
      </c>
      <c r="H18" s="178">
        <f t="shared" si="21"/>
        <v>0</v>
      </c>
      <c r="I18" s="178">
        <f t="shared" si="22"/>
        <v>0</v>
      </c>
      <c r="J18" s="178">
        <f t="shared" si="23"/>
        <v>577.34999999999991</v>
      </c>
      <c r="K18" s="178">
        <f t="shared" si="24"/>
        <v>577.34999999999991</v>
      </c>
      <c r="L18" s="178">
        <f t="shared" si="25"/>
        <v>51.128</v>
      </c>
      <c r="M18" s="178">
        <f>+'C&amp;A'!E19*0.02</f>
        <v>10.2256</v>
      </c>
      <c r="N18" s="178">
        <f t="shared" si="26"/>
        <v>638.70359999999994</v>
      </c>
      <c r="O18" s="178">
        <f t="shared" si="27"/>
        <v>102.19257599999999</v>
      </c>
      <c r="P18" s="178">
        <f t="shared" si="28"/>
        <v>740.89617599999997</v>
      </c>
      <c r="Q18" s="179">
        <f>+K18-'C&amp;A'!J19-SINDICATO!L19</f>
        <v>-5.0000000000068212E-2</v>
      </c>
      <c r="R18" s="102" t="s">
        <v>185</v>
      </c>
      <c r="S18" s="102" t="s">
        <v>193</v>
      </c>
      <c r="T18" s="160" t="s">
        <v>50</v>
      </c>
      <c r="U18" s="102" t="s">
        <v>47</v>
      </c>
      <c r="V18" s="102"/>
      <c r="W18" s="102"/>
      <c r="X18" s="161">
        <v>511.28</v>
      </c>
      <c r="Y18" s="161">
        <v>0</v>
      </c>
      <c r="Z18" s="161">
        <f t="shared" si="0"/>
        <v>511.28</v>
      </c>
      <c r="AA18" s="162"/>
      <c r="AB18" s="162"/>
      <c r="AC18" s="162"/>
      <c r="AD18" s="163"/>
      <c r="AE18" s="164">
        <f t="shared" si="1"/>
        <v>511.28</v>
      </c>
      <c r="AF18" s="162"/>
      <c r="AG18" s="165"/>
      <c r="AH18" s="165"/>
      <c r="AI18" s="162"/>
      <c r="AJ18" s="161">
        <v>0</v>
      </c>
      <c r="AK18" s="164">
        <f t="shared" si="2"/>
        <v>511.28</v>
      </c>
      <c r="AL18" s="165">
        <f t="shared" si="3"/>
        <v>0</v>
      </c>
      <c r="AM18" s="164">
        <f t="shared" si="4"/>
        <v>511.28</v>
      </c>
      <c r="AN18" s="165">
        <f t="shared" si="5"/>
        <v>51.128</v>
      </c>
      <c r="AO18" s="165">
        <f t="shared" si="6"/>
        <v>10.2256</v>
      </c>
      <c r="AP18" s="164">
        <f t="shared" si="7"/>
        <v>572.6336</v>
      </c>
      <c r="AQ18" s="180"/>
      <c r="AR18" s="181" t="s">
        <v>229</v>
      </c>
      <c r="AS18" s="182" t="s">
        <v>74</v>
      </c>
      <c r="AT18" s="183">
        <v>438.24</v>
      </c>
      <c r="AU18" s="183">
        <v>73.040000000000006</v>
      </c>
      <c r="AV18" s="183">
        <v>511.28</v>
      </c>
      <c r="AW18" s="184">
        <v>-66.069999999999993</v>
      </c>
      <c r="AX18" s="183">
        <v>0.15</v>
      </c>
      <c r="AY18" s="183">
        <v>-65.92</v>
      </c>
      <c r="AZ18" s="183">
        <v>577.20000000000005</v>
      </c>
      <c r="BC18" s="198"/>
      <c r="BD18" s="205"/>
      <c r="BG18" s="102" t="s">
        <v>185</v>
      </c>
      <c r="BH18" s="102" t="s">
        <v>193</v>
      </c>
      <c r="BI18" s="160" t="s">
        <v>50</v>
      </c>
      <c r="BJ18" s="102" t="s">
        <v>47</v>
      </c>
      <c r="BK18" s="102"/>
      <c r="BL18" s="102"/>
      <c r="BM18" s="161">
        <v>511.28</v>
      </c>
      <c r="BN18" s="161">
        <v>0</v>
      </c>
      <c r="BO18" s="161">
        <f t="shared" si="8"/>
        <v>511.28</v>
      </c>
      <c r="BP18" s="162"/>
      <c r="BQ18" s="162"/>
      <c r="BR18" s="162"/>
      <c r="BS18" s="163"/>
      <c r="BT18" s="164">
        <f t="shared" si="9"/>
        <v>511.28</v>
      </c>
      <c r="BU18" s="162"/>
      <c r="BV18" s="165"/>
      <c r="BW18" s="165"/>
      <c r="BX18" s="162"/>
      <c r="BY18" s="161">
        <v>0</v>
      </c>
      <c r="BZ18" s="164">
        <f t="shared" si="10"/>
        <v>511.28</v>
      </c>
      <c r="CA18" s="165">
        <f t="shared" si="11"/>
        <v>0</v>
      </c>
      <c r="CB18" s="164">
        <f t="shared" si="12"/>
        <v>511.28</v>
      </c>
      <c r="CC18" s="165">
        <f t="shared" si="13"/>
        <v>51.128</v>
      </c>
      <c r="CD18" s="165">
        <f t="shared" si="14"/>
        <v>10.2256</v>
      </c>
      <c r="CE18" s="164">
        <f t="shared" si="15"/>
        <v>572.6336</v>
      </c>
      <c r="CF18" s="166"/>
      <c r="CG18" s="159"/>
      <c r="CH18" s="159"/>
      <c r="CI18" s="167">
        <f t="shared" si="16"/>
        <v>-511.28</v>
      </c>
      <c r="CJ18" s="166" t="s">
        <v>265</v>
      </c>
      <c r="CK18" s="166"/>
      <c r="CL18" s="166"/>
      <c r="CM18" s="166"/>
      <c r="CN18" s="166" t="s">
        <v>304</v>
      </c>
      <c r="CO18" s="166"/>
      <c r="CP18" s="166"/>
    </row>
    <row r="19" spans="1:94" s="185" customFormat="1" hidden="1" x14ac:dyDescent="0.25">
      <c r="A19" s="176" t="s">
        <v>37</v>
      </c>
      <c r="B19" s="177" t="s">
        <v>179</v>
      </c>
      <c r="C19" s="178">
        <f t="shared" si="17"/>
        <v>1166.6600000000001</v>
      </c>
      <c r="D19" s="178">
        <v>0</v>
      </c>
      <c r="E19" s="178">
        <f t="shared" si="18"/>
        <v>2254.73</v>
      </c>
      <c r="F19" s="178">
        <f t="shared" si="19"/>
        <v>0</v>
      </c>
      <c r="G19" s="178">
        <f t="shared" si="20"/>
        <v>0</v>
      </c>
      <c r="H19" s="178">
        <f t="shared" si="21"/>
        <v>498.65</v>
      </c>
      <c r="I19" s="178">
        <f t="shared" si="22"/>
        <v>0</v>
      </c>
      <c r="J19" s="178">
        <f t="shared" si="23"/>
        <v>2922.7400000000002</v>
      </c>
      <c r="K19" s="178">
        <f t="shared" si="24"/>
        <v>3421.3900000000003</v>
      </c>
      <c r="L19" s="178">
        <f t="shared" si="25"/>
        <v>342.13900000000007</v>
      </c>
      <c r="M19" s="178">
        <f>+'C&amp;A'!E20*0.02</f>
        <v>10.2256</v>
      </c>
      <c r="N19" s="178">
        <f t="shared" si="26"/>
        <v>3773.7546000000007</v>
      </c>
      <c r="O19" s="178">
        <f t="shared" si="27"/>
        <v>603.80073600000014</v>
      </c>
      <c r="P19" s="178">
        <f t="shared" si="28"/>
        <v>4377.5553360000013</v>
      </c>
      <c r="Q19" s="179">
        <f>+K19-'C&amp;A'!J20-SINDICATO!L20</f>
        <v>498.65000000000009</v>
      </c>
      <c r="R19" s="102" t="s">
        <v>177</v>
      </c>
      <c r="S19" s="102" t="s">
        <v>179</v>
      </c>
      <c r="T19" s="160" t="s">
        <v>37</v>
      </c>
      <c r="U19" s="102" t="s">
        <v>46</v>
      </c>
      <c r="V19" s="102"/>
      <c r="W19" s="102"/>
      <c r="X19" s="161">
        <v>511.28</v>
      </c>
      <c r="Y19" s="161">
        <v>655.38000000000011</v>
      </c>
      <c r="Z19" s="161">
        <f t="shared" si="0"/>
        <v>1166.6600000000001</v>
      </c>
      <c r="AA19" s="162">
        <v>2004.79</v>
      </c>
      <c r="AB19" s="162"/>
      <c r="AC19" s="162"/>
      <c r="AD19" s="163"/>
      <c r="AE19" s="164">
        <f t="shared" si="1"/>
        <v>3171.45</v>
      </c>
      <c r="AF19" s="162"/>
      <c r="AG19" s="165"/>
      <c r="AH19" s="165"/>
      <c r="AI19" s="162"/>
      <c r="AJ19" s="161">
        <v>498.65</v>
      </c>
      <c r="AK19" s="164">
        <f t="shared" si="2"/>
        <v>2672.7999999999997</v>
      </c>
      <c r="AL19" s="165">
        <f t="shared" si="3"/>
        <v>0</v>
      </c>
      <c r="AM19" s="164">
        <f t="shared" si="4"/>
        <v>2672.7999999999997</v>
      </c>
      <c r="AN19" s="165">
        <f t="shared" si="5"/>
        <v>317.14499999999998</v>
      </c>
      <c r="AO19" s="165">
        <f t="shared" si="6"/>
        <v>10.2256</v>
      </c>
      <c r="AP19" s="164">
        <f t="shared" si="7"/>
        <v>3498.8206</v>
      </c>
      <c r="AQ19" s="180"/>
      <c r="AR19" s="181" t="s">
        <v>230</v>
      </c>
      <c r="AS19" s="182" t="s">
        <v>75</v>
      </c>
      <c r="AT19" s="183">
        <v>438.24</v>
      </c>
      <c r="AU19" s="183">
        <v>73.040000000000006</v>
      </c>
      <c r="AV19" s="183">
        <v>511.28</v>
      </c>
      <c r="AW19" s="184">
        <v>-66.069999999999993</v>
      </c>
      <c r="AX19" s="184">
        <v>-0.05</v>
      </c>
      <c r="AY19" s="183">
        <v>-66.12</v>
      </c>
      <c r="AZ19" s="183">
        <v>577.4</v>
      </c>
      <c r="BC19" s="198"/>
      <c r="BD19" s="205"/>
      <c r="BG19" s="102" t="s">
        <v>177</v>
      </c>
      <c r="BH19" s="102" t="s">
        <v>179</v>
      </c>
      <c r="BI19" s="160" t="s">
        <v>37</v>
      </c>
      <c r="BJ19" s="102" t="s">
        <v>46</v>
      </c>
      <c r="BK19" s="102"/>
      <c r="BL19" s="102"/>
      <c r="BM19" s="161">
        <v>511.28</v>
      </c>
      <c r="BN19" s="161">
        <v>655.38000000000011</v>
      </c>
      <c r="BO19" s="161">
        <f t="shared" si="8"/>
        <v>1166.6600000000001</v>
      </c>
      <c r="BP19" s="186">
        <v>2254.73</v>
      </c>
      <c r="BQ19" s="162"/>
      <c r="BR19" s="162"/>
      <c r="BS19" s="163"/>
      <c r="BT19" s="164">
        <f t="shared" si="9"/>
        <v>3421.3900000000003</v>
      </c>
      <c r="BU19" s="162"/>
      <c r="BV19" s="165"/>
      <c r="BW19" s="165"/>
      <c r="BX19" s="162"/>
      <c r="BY19" s="161">
        <v>498.65</v>
      </c>
      <c r="BZ19" s="164">
        <f t="shared" si="10"/>
        <v>2922.7400000000002</v>
      </c>
      <c r="CA19" s="165">
        <f t="shared" si="11"/>
        <v>0</v>
      </c>
      <c r="CB19" s="164">
        <f t="shared" si="12"/>
        <v>2922.7400000000002</v>
      </c>
      <c r="CC19" s="165">
        <f t="shared" si="13"/>
        <v>342.13900000000007</v>
      </c>
      <c r="CD19" s="165">
        <f t="shared" si="14"/>
        <v>10.2256</v>
      </c>
      <c r="CE19" s="164">
        <f t="shared" si="15"/>
        <v>3773.7546000000007</v>
      </c>
      <c r="CF19" s="166"/>
      <c r="CG19" s="159"/>
      <c r="CH19" s="159"/>
      <c r="CI19" s="167">
        <f t="shared" si="16"/>
        <v>-2922.7400000000002</v>
      </c>
      <c r="CJ19" s="166" t="s">
        <v>266</v>
      </c>
      <c r="CK19" s="166"/>
      <c r="CL19" s="166"/>
      <c r="CM19" s="166"/>
      <c r="CN19" s="166" t="s">
        <v>305</v>
      </c>
      <c r="CO19" s="166"/>
      <c r="CP19" s="166"/>
    </row>
    <row r="20" spans="1:94" s="185" customFormat="1" x14ac:dyDescent="0.25">
      <c r="A20" s="190" t="s">
        <v>230</v>
      </c>
      <c r="B20" s="191" t="s">
        <v>203</v>
      </c>
      <c r="C20" s="178">
        <f t="shared" si="17"/>
        <v>700</v>
      </c>
      <c r="D20" s="178">
        <v>0</v>
      </c>
      <c r="E20" s="178">
        <f t="shared" si="18"/>
        <v>0</v>
      </c>
      <c r="F20" s="178">
        <f t="shared" si="19"/>
        <v>0</v>
      </c>
      <c r="G20" s="178">
        <f t="shared" si="20"/>
        <v>0</v>
      </c>
      <c r="H20" s="178">
        <f t="shared" si="21"/>
        <v>0</v>
      </c>
      <c r="I20" s="178">
        <f t="shared" si="22"/>
        <v>0</v>
      </c>
      <c r="J20" s="178">
        <f t="shared" si="23"/>
        <v>700</v>
      </c>
      <c r="K20" s="178">
        <f t="shared" si="24"/>
        <v>700</v>
      </c>
      <c r="L20" s="178">
        <f t="shared" si="25"/>
        <v>70</v>
      </c>
      <c r="M20" s="178">
        <f>+'C&amp;A'!E21*0.02</f>
        <v>10.2256</v>
      </c>
      <c r="N20" s="178">
        <f t="shared" si="26"/>
        <v>780.22559999999999</v>
      </c>
      <c r="O20" s="178">
        <f t="shared" si="27"/>
        <v>124.836096</v>
      </c>
      <c r="P20" s="178">
        <f t="shared" si="28"/>
        <v>905.06169599999998</v>
      </c>
      <c r="Q20" s="179">
        <f>+K20-'C&amp;A'!J21-SINDICATO!L21</f>
        <v>0</v>
      </c>
      <c r="R20" s="102" t="s">
        <v>185</v>
      </c>
      <c r="S20" s="102" t="s">
        <v>203</v>
      </c>
      <c r="T20" s="160"/>
      <c r="U20" s="102" t="s">
        <v>47</v>
      </c>
      <c r="V20" s="102"/>
      <c r="W20" s="102"/>
      <c r="X20" s="161">
        <v>700</v>
      </c>
      <c r="Y20" s="161">
        <v>0</v>
      </c>
      <c r="Z20" s="161">
        <f t="shared" si="0"/>
        <v>700</v>
      </c>
      <c r="AA20" s="162"/>
      <c r="AB20" s="162"/>
      <c r="AC20" s="162"/>
      <c r="AD20" s="163"/>
      <c r="AE20" s="164">
        <f t="shared" si="1"/>
        <v>700</v>
      </c>
      <c r="AF20" s="162"/>
      <c r="AG20" s="165"/>
      <c r="AH20" s="165"/>
      <c r="AI20" s="162"/>
      <c r="AJ20" s="161"/>
      <c r="AK20" s="164">
        <f t="shared" si="2"/>
        <v>700</v>
      </c>
      <c r="AL20" s="165">
        <f t="shared" si="3"/>
        <v>0</v>
      </c>
      <c r="AM20" s="164">
        <f t="shared" si="4"/>
        <v>700</v>
      </c>
      <c r="AN20" s="165">
        <f t="shared" si="5"/>
        <v>70</v>
      </c>
      <c r="AO20" s="165">
        <f t="shared" si="6"/>
        <v>14</v>
      </c>
      <c r="AP20" s="164">
        <f t="shared" si="7"/>
        <v>784</v>
      </c>
      <c r="AQ20" s="180"/>
      <c r="AR20" s="181" t="s">
        <v>230</v>
      </c>
      <c r="AS20" s="182" t="s">
        <v>217</v>
      </c>
      <c r="AT20" s="183">
        <v>438.24</v>
      </c>
      <c r="AU20" s="183">
        <v>73.040000000000006</v>
      </c>
      <c r="AV20" s="183">
        <v>511.28</v>
      </c>
      <c r="AW20" s="184">
        <v>-66.069999999999993</v>
      </c>
      <c r="AX20" s="184">
        <v>-0.05</v>
      </c>
      <c r="AY20" s="183">
        <v>-66.12</v>
      </c>
      <c r="AZ20" s="183">
        <v>577.4</v>
      </c>
      <c r="BC20" s="198"/>
      <c r="BD20" s="205"/>
      <c r="BG20" s="102" t="s">
        <v>185</v>
      </c>
      <c r="BH20" s="102" t="s">
        <v>203</v>
      </c>
      <c r="BI20" s="160"/>
      <c r="BJ20" s="102" t="s">
        <v>47</v>
      </c>
      <c r="BK20" s="102"/>
      <c r="BL20" s="102"/>
      <c r="BM20" s="161">
        <v>700</v>
      </c>
      <c r="BN20" s="161">
        <v>0</v>
      </c>
      <c r="BO20" s="161">
        <f t="shared" si="8"/>
        <v>700</v>
      </c>
      <c r="BP20" s="162"/>
      <c r="BQ20" s="162"/>
      <c r="BR20" s="162"/>
      <c r="BS20" s="163"/>
      <c r="BT20" s="164">
        <f t="shared" si="9"/>
        <v>700</v>
      </c>
      <c r="BU20" s="162"/>
      <c r="BV20" s="165"/>
      <c r="BW20" s="165"/>
      <c r="BX20" s="162"/>
      <c r="BY20" s="161"/>
      <c r="BZ20" s="164">
        <f t="shared" si="10"/>
        <v>700</v>
      </c>
      <c r="CA20" s="165">
        <f t="shared" si="11"/>
        <v>0</v>
      </c>
      <c r="CB20" s="164">
        <f t="shared" si="12"/>
        <v>700</v>
      </c>
      <c r="CC20" s="165">
        <f t="shared" si="13"/>
        <v>70</v>
      </c>
      <c r="CD20" s="165">
        <f t="shared" si="14"/>
        <v>14</v>
      </c>
      <c r="CE20" s="164">
        <f t="shared" si="15"/>
        <v>784</v>
      </c>
      <c r="CF20" s="166"/>
      <c r="CG20" s="159"/>
      <c r="CH20" s="159"/>
      <c r="CI20" s="167">
        <f t="shared" si="16"/>
        <v>-700</v>
      </c>
      <c r="CJ20" s="168">
        <v>2778164622</v>
      </c>
      <c r="CK20" s="166" t="s">
        <v>267</v>
      </c>
      <c r="CL20" s="166"/>
      <c r="CM20" s="166"/>
      <c r="CN20" s="166" t="s">
        <v>304</v>
      </c>
      <c r="CO20" s="166"/>
      <c r="CP20" s="166"/>
    </row>
    <row r="21" spans="1:94" s="144" customFormat="1" x14ac:dyDescent="0.25">
      <c r="A21" s="190" t="s">
        <v>293</v>
      </c>
      <c r="B21" s="102" t="s">
        <v>277</v>
      </c>
      <c r="C21" s="178">
        <f t="shared" si="17"/>
        <v>700</v>
      </c>
      <c r="D21" s="178"/>
      <c r="E21" s="178">
        <f t="shared" si="18"/>
        <v>0</v>
      </c>
      <c r="F21" s="178">
        <f t="shared" si="19"/>
        <v>0</v>
      </c>
      <c r="G21" s="178">
        <f t="shared" si="20"/>
        <v>0</v>
      </c>
      <c r="H21" s="178">
        <f t="shared" si="21"/>
        <v>0</v>
      </c>
      <c r="I21" s="178">
        <f t="shared" si="22"/>
        <v>0</v>
      </c>
      <c r="J21" s="178">
        <f t="shared" si="23"/>
        <v>700</v>
      </c>
      <c r="K21" s="178">
        <f t="shared" si="24"/>
        <v>700</v>
      </c>
      <c r="L21" s="178">
        <f t="shared" si="25"/>
        <v>70</v>
      </c>
      <c r="M21" s="178">
        <f>+'C&amp;A'!E22*0.02</f>
        <v>10.2256</v>
      </c>
      <c r="N21" s="178">
        <f t="shared" si="26"/>
        <v>780.22559999999999</v>
      </c>
      <c r="O21" s="178">
        <f t="shared" si="27"/>
        <v>124.836096</v>
      </c>
      <c r="P21" s="178">
        <f t="shared" si="28"/>
        <v>905.06169599999998</v>
      </c>
      <c r="Q21" s="179"/>
      <c r="R21" s="102"/>
      <c r="S21" s="102"/>
      <c r="T21" s="160"/>
      <c r="U21" s="102"/>
      <c r="V21" s="102"/>
      <c r="W21" s="102"/>
      <c r="X21" s="161"/>
      <c r="Y21" s="161"/>
      <c r="Z21" s="161"/>
      <c r="AA21" s="162"/>
      <c r="AB21" s="162"/>
      <c r="AC21" s="162"/>
      <c r="AD21" s="163"/>
      <c r="AE21" s="164"/>
      <c r="AF21" s="162"/>
      <c r="AG21" s="165"/>
      <c r="AH21" s="165"/>
      <c r="AI21" s="162"/>
      <c r="AJ21" s="161"/>
      <c r="AK21" s="164"/>
      <c r="AL21" s="165"/>
      <c r="AM21" s="164"/>
      <c r="AN21" s="165"/>
      <c r="AO21" s="165"/>
      <c r="AP21" s="164"/>
      <c r="AQ21" s="180"/>
      <c r="AR21" s="181"/>
      <c r="AS21" s="182"/>
      <c r="AT21" s="183"/>
      <c r="AU21" s="183"/>
      <c r="AV21" s="183"/>
      <c r="AW21" s="184"/>
      <c r="AX21" s="184"/>
      <c r="AY21" s="183"/>
      <c r="AZ21" s="183"/>
      <c r="BA21" s="185"/>
      <c r="BB21" s="185"/>
      <c r="BC21" s="198"/>
      <c r="BD21" s="205"/>
      <c r="BE21" s="185"/>
      <c r="BF21" s="185"/>
      <c r="BG21" s="102" t="s">
        <v>185</v>
      </c>
      <c r="BH21" s="102" t="s">
        <v>277</v>
      </c>
      <c r="BI21" s="160"/>
      <c r="BJ21" s="102" t="s">
        <v>47</v>
      </c>
      <c r="BK21" s="102"/>
      <c r="BL21" s="102"/>
      <c r="BM21" s="161">
        <v>511.28</v>
      </c>
      <c r="BN21" s="161">
        <v>188.72000000000003</v>
      </c>
      <c r="BO21" s="161">
        <f t="shared" si="8"/>
        <v>700</v>
      </c>
      <c r="BP21" s="175"/>
      <c r="BQ21" s="162"/>
      <c r="BR21" s="162"/>
      <c r="BS21" s="163"/>
      <c r="BT21" s="164">
        <f t="shared" si="9"/>
        <v>700</v>
      </c>
      <c r="BU21" s="162"/>
      <c r="BV21" s="165"/>
      <c r="BW21" s="165"/>
      <c r="BX21" s="162"/>
      <c r="BY21" s="161"/>
      <c r="BZ21" s="164">
        <f t="shared" si="10"/>
        <v>700</v>
      </c>
      <c r="CA21" s="165">
        <f t="shared" si="11"/>
        <v>0</v>
      </c>
      <c r="CB21" s="164">
        <f t="shared" si="12"/>
        <v>700</v>
      </c>
      <c r="CC21" s="165">
        <f t="shared" si="13"/>
        <v>70</v>
      </c>
      <c r="CD21" s="165">
        <f t="shared" si="14"/>
        <v>10.2256</v>
      </c>
      <c r="CE21" s="164">
        <f t="shared" si="15"/>
        <v>780.22559999999999</v>
      </c>
      <c r="CF21" s="166" t="s">
        <v>278</v>
      </c>
      <c r="CG21" s="159"/>
      <c r="CH21" s="159"/>
      <c r="CI21" s="167">
        <f t="shared" si="16"/>
        <v>-700</v>
      </c>
      <c r="CJ21" s="166"/>
      <c r="CK21" s="166" t="s">
        <v>279</v>
      </c>
      <c r="CL21" s="166"/>
      <c r="CM21" s="166"/>
      <c r="CN21" s="166" t="s">
        <v>304</v>
      </c>
      <c r="CO21" s="166"/>
      <c r="CP21" s="99"/>
    </row>
    <row r="22" spans="1:94" s="185" customFormat="1" x14ac:dyDescent="0.25">
      <c r="A22" s="176" t="s">
        <v>76</v>
      </c>
      <c r="B22" s="177" t="s">
        <v>98</v>
      </c>
      <c r="C22" s="178">
        <f t="shared" si="17"/>
        <v>1633.33</v>
      </c>
      <c r="D22" s="178">
        <v>0</v>
      </c>
      <c r="E22" s="178">
        <f t="shared" si="18"/>
        <v>74729.33</v>
      </c>
      <c r="F22" s="178">
        <f t="shared" si="19"/>
        <v>0</v>
      </c>
      <c r="G22" s="178">
        <f t="shared" si="20"/>
        <v>524.16999999999996</v>
      </c>
      <c r="H22" s="178">
        <f t="shared" si="21"/>
        <v>144.03</v>
      </c>
      <c r="I22" s="178">
        <f t="shared" si="22"/>
        <v>7636.2660000000005</v>
      </c>
      <c r="J22" s="178">
        <f t="shared" si="23"/>
        <v>68058.194000000003</v>
      </c>
      <c r="K22" s="178">
        <f t="shared" si="24"/>
        <v>75838.490000000005</v>
      </c>
      <c r="L22" s="178">
        <f t="shared" si="25"/>
        <v>0</v>
      </c>
      <c r="M22" s="178">
        <f>+'C&amp;A'!E23*0.02</f>
        <v>10.2256</v>
      </c>
      <c r="N22" s="178">
        <f t="shared" si="26"/>
        <v>75848.71560000001</v>
      </c>
      <c r="O22" s="178">
        <f t="shared" si="27"/>
        <v>12135.794496000002</v>
      </c>
      <c r="P22" s="178">
        <f t="shared" si="28"/>
        <v>87984.510096000013</v>
      </c>
      <c r="Q22" s="179">
        <f>+K22-'C&amp;A'!J23-SINDICATO!L23</f>
        <v>7780.2960000000021</v>
      </c>
      <c r="R22" s="102" t="s">
        <v>185</v>
      </c>
      <c r="S22" s="102" t="s">
        <v>188</v>
      </c>
      <c r="T22" s="160">
        <v>10</v>
      </c>
      <c r="U22" s="102" t="s">
        <v>187</v>
      </c>
      <c r="V22" s="102"/>
      <c r="W22" s="102"/>
      <c r="X22" s="161">
        <v>511.28</v>
      </c>
      <c r="Y22" s="161">
        <v>1122.05</v>
      </c>
      <c r="Z22" s="161">
        <f t="shared" si="0"/>
        <v>1633.33</v>
      </c>
      <c r="AA22" s="162">
        <v>8820.82</v>
      </c>
      <c r="AB22" s="162"/>
      <c r="AC22" s="162"/>
      <c r="AD22" s="163"/>
      <c r="AE22" s="164">
        <f t="shared" si="1"/>
        <v>10454.15</v>
      </c>
      <c r="AF22" s="162"/>
      <c r="AG22" s="165"/>
      <c r="AH22" s="165"/>
      <c r="AI22" s="162">
        <v>524.16999999999996</v>
      </c>
      <c r="AJ22" s="161">
        <v>144.03</v>
      </c>
      <c r="AK22" s="164">
        <f t="shared" si="2"/>
        <v>9785.9499999999989</v>
      </c>
      <c r="AL22" s="165">
        <f t="shared" si="3"/>
        <v>1045.415</v>
      </c>
      <c r="AM22" s="164">
        <f t="shared" si="4"/>
        <v>8740.5349999999999</v>
      </c>
      <c r="AN22" s="165">
        <f t="shared" si="5"/>
        <v>0</v>
      </c>
      <c r="AO22" s="165">
        <f t="shared" si="6"/>
        <v>10.2256</v>
      </c>
      <c r="AP22" s="164">
        <f t="shared" si="7"/>
        <v>10464.375599999999</v>
      </c>
      <c r="AQ22" s="180"/>
      <c r="AR22" s="181" t="s">
        <v>231</v>
      </c>
      <c r="AS22" s="182" t="s">
        <v>77</v>
      </c>
      <c r="AT22" s="183">
        <v>438.24</v>
      </c>
      <c r="AU22" s="183">
        <v>73.040000000000006</v>
      </c>
      <c r="AV22" s="183">
        <v>511.28</v>
      </c>
      <c r="AW22" s="184">
        <v>-66.069999999999993</v>
      </c>
      <c r="AX22" s="184">
        <v>-0.05</v>
      </c>
      <c r="AY22" s="183">
        <v>-66.12</v>
      </c>
      <c r="AZ22" s="183">
        <v>577.4</v>
      </c>
      <c r="BC22" s="198"/>
      <c r="BD22" s="205"/>
      <c r="BG22" s="102" t="s">
        <v>185</v>
      </c>
      <c r="BH22" s="102" t="s">
        <v>188</v>
      </c>
      <c r="BI22" s="160">
        <v>10</v>
      </c>
      <c r="BJ22" s="102" t="s">
        <v>187</v>
      </c>
      <c r="BK22" s="102"/>
      <c r="BL22" s="102"/>
      <c r="BM22" s="161">
        <v>511.28</v>
      </c>
      <c r="BN22" s="161">
        <v>1122.05</v>
      </c>
      <c r="BO22" s="161">
        <f t="shared" si="8"/>
        <v>1633.33</v>
      </c>
      <c r="BP22" s="186">
        <v>74729.33</v>
      </c>
      <c r="BQ22" s="162"/>
      <c r="BR22" s="162"/>
      <c r="BS22" s="163"/>
      <c r="BT22" s="164">
        <f t="shared" si="9"/>
        <v>76362.66</v>
      </c>
      <c r="BU22" s="162"/>
      <c r="BV22" s="165"/>
      <c r="BW22" s="165"/>
      <c r="BX22" s="162">
        <v>524.16999999999996</v>
      </c>
      <c r="BY22" s="161">
        <v>144.03</v>
      </c>
      <c r="BZ22" s="164">
        <f t="shared" si="10"/>
        <v>75694.460000000006</v>
      </c>
      <c r="CA22" s="165">
        <f t="shared" si="11"/>
        <v>7636.2660000000005</v>
      </c>
      <c r="CB22" s="164">
        <f t="shared" si="12"/>
        <v>68058.194000000003</v>
      </c>
      <c r="CC22" s="165">
        <f t="shared" si="13"/>
        <v>0</v>
      </c>
      <c r="CD22" s="165">
        <f t="shared" si="14"/>
        <v>10.2256</v>
      </c>
      <c r="CE22" s="164">
        <f t="shared" si="15"/>
        <v>76372.885600000009</v>
      </c>
      <c r="CF22" s="166"/>
      <c r="CG22" s="159"/>
      <c r="CH22" s="159"/>
      <c r="CI22" s="167">
        <f t="shared" si="16"/>
        <v>-68058.194000000003</v>
      </c>
      <c r="CJ22" s="166" t="s">
        <v>268</v>
      </c>
      <c r="CK22" s="166"/>
      <c r="CL22" s="166"/>
      <c r="CM22" s="166"/>
      <c r="CN22" s="166" t="s">
        <v>304</v>
      </c>
      <c r="CO22" s="166"/>
      <c r="CP22" s="166"/>
    </row>
    <row r="23" spans="1:94" s="185" customFormat="1" x14ac:dyDescent="0.25">
      <c r="A23" s="176" t="s">
        <v>54</v>
      </c>
      <c r="B23" s="187" t="s">
        <v>111</v>
      </c>
      <c r="C23" s="178">
        <f t="shared" si="17"/>
        <v>577.35</v>
      </c>
      <c r="D23" s="178"/>
      <c r="E23" s="178">
        <f t="shared" si="18"/>
        <v>12414.92</v>
      </c>
      <c r="F23" s="178">
        <f t="shared" si="19"/>
        <v>0</v>
      </c>
      <c r="G23" s="178">
        <f t="shared" si="20"/>
        <v>0</v>
      </c>
      <c r="H23" s="178">
        <f t="shared" si="21"/>
        <v>0</v>
      </c>
      <c r="I23" s="178">
        <f t="shared" si="22"/>
        <v>1299.2270000000001</v>
      </c>
      <c r="J23" s="178">
        <f t="shared" si="23"/>
        <v>11693.043</v>
      </c>
      <c r="K23" s="178">
        <f t="shared" si="24"/>
        <v>12992.27</v>
      </c>
      <c r="L23" s="178">
        <f t="shared" si="25"/>
        <v>0</v>
      </c>
      <c r="M23" s="178">
        <f>+'C&amp;A'!E24*0.02</f>
        <v>10.2256</v>
      </c>
      <c r="N23" s="178">
        <f t="shared" si="26"/>
        <v>13002.4956</v>
      </c>
      <c r="O23" s="178">
        <f t="shared" si="27"/>
        <v>2080.399296</v>
      </c>
      <c r="P23" s="178">
        <f t="shared" si="28"/>
        <v>15082.894896</v>
      </c>
      <c r="Q23" s="179">
        <f>+K23-'C&amp;A'!J24-SINDICATO!L24</f>
        <v>1299.2270000000008</v>
      </c>
      <c r="R23" s="102" t="s">
        <v>185</v>
      </c>
      <c r="S23" s="102" t="s">
        <v>196</v>
      </c>
      <c r="T23" s="160" t="s">
        <v>54</v>
      </c>
      <c r="U23" s="102" t="s">
        <v>47</v>
      </c>
      <c r="V23" s="102"/>
      <c r="W23" s="102"/>
      <c r="X23" s="161">
        <v>511.28</v>
      </c>
      <c r="Y23" s="161">
        <v>20.579999999999984</v>
      </c>
      <c r="Z23" s="161">
        <f t="shared" si="0"/>
        <v>531.8599999999999</v>
      </c>
      <c r="AA23" s="162"/>
      <c r="AB23" s="162"/>
      <c r="AC23" s="162"/>
      <c r="AD23" s="163"/>
      <c r="AE23" s="164">
        <f t="shared" si="1"/>
        <v>531.8599999999999</v>
      </c>
      <c r="AF23" s="162"/>
      <c r="AG23" s="165"/>
      <c r="AH23" s="165"/>
      <c r="AI23" s="162"/>
      <c r="AJ23" s="161">
        <v>0</v>
      </c>
      <c r="AK23" s="164">
        <f t="shared" si="2"/>
        <v>531.8599999999999</v>
      </c>
      <c r="AL23" s="165">
        <f t="shared" si="3"/>
        <v>0</v>
      </c>
      <c r="AM23" s="164">
        <f t="shared" si="4"/>
        <v>531.8599999999999</v>
      </c>
      <c r="AN23" s="165">
        <f t="shared" si="5"/>
        <v>53.185999999999993</v>
      </c>
      <c r="AO23" s="165">
        <f t="shared" si="6"/>
        <v>10.2256</v>
      </c>
      <c r="AP23" s="164">
        <f t="shared" si="7"/>
        <v>595.27159999999992</v>
      </c>
      <c r="AQ23" s="180"/>
      <c r="AR23" s="181" t="s">
        <v>232</v>
      </c>
      <c r="AS23" s="182" t="s">
        <v>78</v>
      </c>
      <c r="AT23" s="183">
        <v>438.24</v>
      </c>
      <c r="AU23" s="183">
        <v>73.040000000000006</v>
      </c>
      <c r="AV23" s="183">
        <v>511.28</v>
      </c>
      <c r="AW23" s="184">
        <v>-66.069999999999993</v>
      </c>
      <c r="AX23" s="184">
        <v>-0.05</v>
      </c>
      <c r="AY23" s="183">
        <v>-66.12</v>
      </c>
      <c r="AZ23" s="183">
        <v>577.4</v>
      </c>
      <c r="BC23" s="198"/>
      <c r="BD23" s="205"/>
      <c r="BG23" s="102" t="s">
        <v>185</v>
      </c>
      <c r="BH23" s="102" t="s">
        <v>196</v>
      </c>
      <c r="BI23" s="160" t="s">
        <v>54</v>
      </c>
      <c r="BJ23" s="102" t="s">
        <v>47</v>
      </c>
      <c r="BK23" s="102"/>
      <c r="BL23" s="102"/>
      <c r="BM23" s="161">
        <v>577.35</v>
      </c>
      <c r="BN23" s="161"/>
      <c r="BO23" s="161">
        <f t="shared" si="8"/>
        <v>577.35</v>
      </c>
      <c r="BP23" s="188">
        <v>12414.92</v>
      </c>
      <c r="BQ23" s="162"/>
      <c r="BR23" s="162"/>
      <c r="BS23" s="163"/>
      <c r="BT23" s="164">
        <f t="shared" si="9"/>
        <v>12992.27</v>
      </c>
      <c r="BU23" s="162"/>
      <c r="BV23" s="165"/>
      <c r="BW23" s="165"/>
      <c r="BX23" s="162"/>
      <c r="BY23" s="161">
        <v>0</v>
      </c>
      <c r="BZ23" s="164">
        <f t="shared" si="10"/>
        <v>12992.27</v>
      </c>
      <c r="CA23" s="165">
        <f t="shared" si="11"/>
        <v>1299.2270000000001</v>
      </c>
      <c r="CB23" s="164">
        <f t="shared" si="12"/>
        <v>11693.043</v>
      </c>
      <c r="CC23" s="165">
        <f t="shared" si="13"/>
        <v>0</v>
      </c>
      <c r="CD23" s="165">
        <f t="shared" si="14"/>
        <v>11.547000000000001</v>
      </c>
      <c r="CE23" s="164">
        <f t="shared" si="15"/>
        <v>13003.817000000001</v>
      </c>
      <c r="CF23" s="166"/>
      <c r="CG23" s="159"/>
      <c r="CH23" s="159"/>
      <c r="CI23" s="167">
        <f t="shared" si="16"/>
        <v>-11693.043</v>
      </c>
      <c r="CJ23" s="166" t="s">
        <v>269</v>
      </c>
      <c r="CK23" s="166"/>
      <c r="CL23" s="166"/>
      <c r="CM23" s="166"/>
      <c r="CN23" s="166" t="s">
        <v>304</v>
      </c>
      <c r="CO23" s="166"/>
      <c r="CP23" s="166"/>
    </row>
    <row r="24" spans="1:94" s="185" customFormat="1" x14ac:dyDescent="0.25">
      <c r="A24" s="176" t="s">
        <v>52</v>
      </c>
      <c r="B24" s="187" t="s">
        <v>99</v>
      </c>
      <c r="C24" s="178">
        <f t="shared" si="17"/>
        <v>511.28</v>
      </c>
      <c r="D24" s="178">
        <v>0</v>
      </c>
      <c r="E24" s="178">
        <f t="shared" si="18"/>
        <v>10059.98</v>
      </c>
      <c r="F24" s="178">
        <f t="shared" si="19"/>
        <v>0</v>
      </c>
      <c r="G24" s="178">
        <f t="shared" si="20"/>
        <v>0</v>
      </c>
      <c r="H24" s="178">
        <f t="shared" si="21"/>
        <v>0</v>
      </c>
      <c r="I24" s="178">
        <f t="shared" si="22"/>
        <v>1057.126</v>
      </c>
      <c r="J24" s="178">
        <f t="shared" si="23"/>
        <v>9514.134</v>
      </c>
      <c r="K24" s="178">
        <f t="shared" si="24"/>
        <v>10571.26</v>
      </c>
      <c r="L24" s="178">
        <f t="shared" si="25"/>
        <v>0</v>
      </c>
      <c r="M24" s="178">
        <f>+'C&amp;A'!E25*0.02</f>
        <v>10.2256</v>
      </c>
      <c r="N24" s="178">
        <f t="shared" si="26"/>
        <v>10581.4856</v>
      </c>
      <c r="O24" s="178">
        <f t="shared" si="27"/>
        <v>1693.0376960000001</v>
      </c>
      <c r="P24" s="178">
        <f t="shared" si="28"/>
        <v>12274.523295999999</v>
      </c>
      <c r="Q24" s="179">
        <f>+K24-'C&amp;A'!J25-SINDICATO!L25</f>
        <v>1057.1260000000002</v>
      </c>
      <c r="R24" s="102" t="s">
        <v>185</v>
      </c>
      <c r="S24" s="102" t="s">
        <v>194</v>
      </c>
      <c r="T24" s="160" t="s">
        <v>52</v>
      </c>
      <c r="U24" s="102" t="s">
        <v>47</v>
      </c>
      <c r="V24" s="102"/>
      <c r="W24" s="102"/>
      <c r="X24" s="161">
        <v>511.28</v>
      </c>
      <c r="Y24" s="161">
        <v>0</v>
      </c>
      <c r="Z24" s="161">
        <f t="shared" si="0"/>
        <v>511.28</v>
      </c>
      <c r="AA24" s="162">
        <f>3035.57</f>
        <v>3035.57</v>
      </c>
      <c r="AB24" s="162"/>
      <c r="AC24" s="162"/>
      <c r="AD24" s="163"/>
      <c r="AE24" s="164">
        <f t="shared" si="1"/>
        <v>3546.8500000000004</v>
      </c>
      <c r="AF24" s="162"/>
      <c r="AG24" s="165"/>
      <c r="AH24" s="165"/>
      <c r="AI24" s="162"/>
      <c r="AJ24" s="161">
        <v>0</v>
      </c>
      <c r="AK24" s="164">
        <f t="shared" si="2"/>
        <v>3546.8500000000004</v>
      </c>
      <c r="AL24" s="165">
        <f t="shared" si="3"/>
        <v>0</v>
      </c>
      <c r="AM24" s="164">
        <f t="shared" si="4"/>
        <v>3546.8500000000004</v>
      </c>
      <c r="AN24" s="165">
        <f t="shared" si="5"/>
        <v>354.68500000000006</v>
      </c>
      <c r="AO24" s="165">
        <f t="shared" si="6"/>
        <v>10.2256</v>
      </c>
      <c r="AP24" s="164">
        <f t="shared" si="7"/>
        <v>3911.7606000000005</v>
      </c>
      <c r="AQ24" s="180"/>
      <c r="AR24" s="181" t="s">
        <v>233</v>
      </c>
      <c r="AS24" s="182" t="s">
        <v>79</v>
      </c>
      <c r="AT24" s="183">
        <v>438.24</v>
      </c>
      <c r="AU24" s="183">
        <v>73.040000000000006</v>
      </c>
      <c r="AV24" s="183">
        <v>511.28</v>
      </c>
      <c r="AW24" s="184">
        <v>-66.069999999999993</v>
      </c>
      <c r="AX24" s="183">
        <v>0.15</v>
      </c>
      <c r="AY24" s="183">
        <v>-65.92</v>
      </c>
      <c r="AZ24" s="183">
        <v>577.20000000000005</v>
      </c>
      <c r="BC24" s="198"/>
      <c r="BD24" s="205"/>
      <c r="BG24" s="102" t="s">
        <v>185</v>
      </c>
      <c r="BH24" s="102" t="s">
        <v>194</v>
      </c>
      <c r="BI24" s="160" t="s">
        <v>52</v>
      </c>
      <c r="BJ24" s="102" t="s">
        <v>47</v>
      </c>
      <c r="BK24" s="102"/>
      <c r="BL24" s="102"/>
      <c r="BM24" s="161">
        <v>511.28</v>
      </c>
      <c r="BN24" s="161">
        <v>0</v>
      </c>
      <c r="BO24" s="161">
        <f t="shared" si="8"/>
        <v>511.28</v>
      </c>
      <c r="BP24" s="193">
        <v>10059.98</v>
      </c>
      <c r="BQ24" s="162"/>
      <c r="BR24" s="162"/>
      <c r="BS24" s="163"/>
      <c r="BT24" s="164">
        <f t="shared" si="9"/>
        <v>10571.26</v>
      </c>
      <c r="BU24" s="162"/>
      <c r="BV24" s="165"/>
      <c r="BW24" s="165"/>
      <c r="BX24" s="162"/>
      <c r="BY24" s="161">
        <v>0</v>
      </c>
      <c r="BZ24" s="164">
        <f t="shared" si="10"/>
        <v>10571.26</v>
      </c>
      <c r="CA24" s="165">
        <f t="shared" si="11"/>
        <v>1057.126</v>
      </c>
      <c r="CB24" s="164">
        <f t="shared" si="12"/>
        <v>9514.134</v>
      </c>
      <c r="CC24" s="165">
        <f t="shared" si="13"/>
        <v>0</v>
      </c>
      <c r="CD24" s="165">
        <f t="shared" si="14"/>
        <v>10.2256</v>
      </c>
      <c r="CE24" s="164">
        <f t="shared" si="15"/>
        <v>10581.4856</v>
      </c>
      <c r="CF24" s="166"/>
      <c r="CG24" s="159"/>
      <c r="CH24" s="159"/>
      <c r="CI24" s="167">
        <f t="shared" si="16"/>
        <v>-9514.134</v>
      </c>
      <c r="CJ24" s="166" t="s">
        <v>270</v>
      </c>
      <c r="CK24" s="166"/>
      <c r="CL24" s="166"/>
      <c r="CM24" s="166"/>
      <c r="CN24" s="166" t="s">
        <v>304</v>
      </c>
      <c r="CO24" s="166"/>
      <c r="CP24" s="166"/>
    </row>
    <row r="25" spans="1:94" s="185" customFormat="1" x14ac:dyDescent="0.25">
      <c r="A25" s="176" t="s">
        <v>53</v>
      </c>
      <c r="B25" s="187" t="s">
        <v>106</v>
      </c>
      <c r="C25" s="178">
        <f t="shared" si="17"/>
        <v>511.28</v>
      </c>
      <c r="D25" s="178">
        <f>-'C&amp;A'!F26</f>
        <v>66.069999999999993</v>
      </c>
      <c r="E25" s="178">
        <f t="shared" si="18"/>
        <v>0</v>
      </c>
      <c r="F25" s="178">
        <f t="shared" si="19"/>
        <v>0</v>
      </c>
      <c r="G25" s="178">
        <f t="shared" si="20"/>
        <v>0</v>
      </c>
      <c r="H25" s="178">
        <f t="shared" si="21"/>
        <v>0</v>
      </c>
      <c r="I25" s="178">
        <f t="shared" si="22"/>
        <v>0</v>
      </c>
      <c r="J25" s="178">
        <f t="shared" si="23"/>
        <v>577.34999999999991</v>
      </c>
      <c r="K25" s="178">
        <f t="shared" si="24"/>
        <v>577.34999999999991</v>
      </c>
      <c r="L25" s="178">
        <f t="shared" si="25"/>
        <v>51.128</v>
      </c>
      <c r="M25" s="178">
        <f>+'C&amp;A'!E26*0.02</f>
        <v>10.2256</v>
      </c>
      <c r="N25" s="178">
        <f t="shared" si="26"/>
        <v>638.70359999999994</v>
      </c>
      <c r="O25" s="178">
        <f t="shared" si="27"/>
        <v>102.19257599999999</v>
      </c>
      <c r="P25" s="178">
        <f t="shared" si="28"/>
        <v>740.89617599999997</v>
      </c>
      <c r="Q25" s="179">
        <f>+K25-'C&amp;A'!J26-SINDICATO!L26</f>
        <v>-5.0000000000068212E-2</v>
      </c>
      <c r="R25" s="102" t="s">
        <v>185</v>
      </c>
      <c r="S25" s="102" t="s">
        <v>195</v>
      </c>
      <c r="T25" s="160" t="s">
        <v>53</v>
      </c>
      <c r="U25" s="102" t="s">
        <v>47</v>
      </c>
      <c r="V25" s="102"/>
      <c r="W25" s="102"/>
      <c r="X25" s="161">
        <v>511.28</v>
      </c>
      <c r="Y25" s="161">
        <v>0</v>
      </c>
      <c r="Z25" s="161">
        <f t="shared" si="0"/>
        <v>511.28</v>
      </c>
      <c r="AA25" s="162">
        <f>1804.73+2000</f>
        <v>3804.73</v>
      </c>
      <c r="AB25" s="162"/>
      <c r="AC25" s="162"/>
      <c r="AD25" s="163"/>
      <c r="AE25" s="164">
        <f t="shared" si="1"/>
        <v>4316.01</v>
      </c>
      <c r="AF25" s="162"/>
      <c r="AG25" s="165"/>
      <c r="AH25" s="165"/>
      <c r="AI25" s="162"/>
      <c r="AJ25" s="161">
        <v>0</v>
      </c>
      <c r="AK25" s="164">
        <f t="shared" si="2"/>
        <v>4316.01</v>
      </c>
      <c r="AL25" s="165">
        <f t="shared" si="3"/>
        <v>0</v>
      </c>
      <c r="AM25" s="164">
        <f t="shared" si="4"/>
        <v>4316.01</v>
      </c>
      <c r="AN25" s="165">
        <f t="shared" si="5"/>
        <v>431.60100000000006</v>
      </c>
      <c r="AO25" s="165">
        <f t="shared" si="6"/>
        <v>10.2256</v>
      </c>
      <c r="AP25" s="164">
        <f t="shared" si="7"/>
        <v>4757.8365999999996</v>
      </c>
      <c r="AQ25" s="180"/>
      <c r="AR25" s="181" t="s">
        <v>234</v>
      </c>
      <c r="AS25" s="182" t="s">
        <v>80</v>
      </c>
      <c r="AT25" s="183">
        <v>438.24</v>
      </c>
      <c r="AU25" s="183">
        <v>73.040000000000006</v>
      </c>
      <c r="AV25" s="183">
        <v>511.28</v>
      </c>
      <c r="AW25" s="184">
        <v>-66.069999999999993</v>
      </c>
      <c r="AX25" s="184">
        <v>-0.05</v>
      </c>
      <c r="AY25" s="183">
        <v>-66.12</v>
      </c>
      <c r="AZ25" s="183">
        <v>577.4</v>
      </c>
      <c r="BC25" s="198"/>
      <c r="BD25" s="205"/>
      <c r="BG25" s="102" t="s">
        <v>185</v>
      </c>
      <c r="BH25" s="102" t="s">
        <v>271</v>
      </c>
      <c r="BI25" s="160" t="s">
        <v>53</v>
      </c>
      <c r="BJ25" s="102" t="s">
        <v>47</v>
      </c>
      <c r="BK25" s="102"/>
      <c r="BL25" s="102"/>
      <c r="BM25" s="161">
        <v>511.28</v>
      </c>
      <c r="BN25" s="161">
        <v>0</v>
      </c>
      <c r="BO25" s="161">
        <f t="shared" si="8"/>
        <v>511.28</v>
      </c>
      <c r="BP25" s="162"/>
      <c r="BQ25" s="162"/>
      <c r="BR25" s="162"/>
      <c r="BS25" s="163"/>
      <c r="BT25" s="164">
        <f t="shared" si="9"/>
        <v>511.28</v>
      </c>
      <c r="BU25" s="162"/>
      <c r="BV25" s="165"/>
      <c r="BW25" s="165"/>
      <c r="BX25" s="162"/>
      <c r="BY25" s="161">
        <v>0</v>
      </c>
      <c r="BZ25" s="164">
        <f t="shared" si="10"/>
        <v>511.28</v>
      </c>
      <c r="CA25" s="165">
        <f t="shared" si="11"/>
        <v>0</v>
      </c>
      <c r="CB25" s="164">
        <f t="shared" si="12"/>
        <v>511.28</v>
      </c>
      <c r="CC25" s="165">
        <f t="shared" si="13"/>
        <v>51.128</v>
      </c>
      <c r="CD25" s="165">
        <f t="shared" si="14"/>
        <v>10.2256</v>
      </c>
      <c r="CE25" s="164">
        <f t="shared" si="15"/>
        <v>572.6336</v>
      </c>
      <c r="CF25" s="166"/>
      <c r="CG25" s="159"/>
      <c r="CH25" s="159"/>
      <c r="CI25" s="167">
        <f t="shared" si="16"/>
        <v>-511.28</v>
      </c>
      <c r="CJ25" s="166" t="s">
        <v>272</v>
      </c>
      <c r="CK25" s="166"/>
      <c r="CL25" s="166"/>
      <c r="CM25" s="166"/>
      <c r="CN25" s="166" t="s">
        <v>304</v>
      </c>
      <c r="CO25" s="166"/>
      <c r="CP25" s="166"/>
    </row>
    <row r="26" spans="1:94" s="185" customFormat="1" x14ac:dyDescent="0.25">
      <c r="A26" s="176" t="s">
        <v>51</v>
      </c>
      <c r="B26" s="187" t="s">
        <v>103</v>
      </c>
      <c r="C26" s="178">
        <f t="shared" si="17"/>
        <v>577.35</v>
      </c>
      <c r="D26" s="178">
        <v>0</v>
      </c>
      <c r="E26" s="178">
        <f t="shared" si="18"/>
        <v>0</v>
      </c>
      <c r="F26" s="178">
        <f t="shared" si="19"/>
        <v>0</v>
      </c>
      <c r="G26" s="178">
        <f t="shared" si="20"/>
        <v>0</v>
      </c>
      <c r="H26" s="178">
        <f t="shared" si="21"/>
        <v>115.26</v>
      </c>
      <c r="I26" s="178">
        <f t="shared" si="22"/>
        <v>0</v>
      </c>
      <c r="J26" s="178">
        <f t="shared" si="23"/>
        <v>462.09000000000003</v>
      </c>
      <c r="K26" s="178">
        <f t="shared" si="24"/>
        <v>577.35</v>
      </c>
      <c r="L26" s="178">
        <f t="shared" si="25"/>
        <v>57.735000000000007</v>
      </c>
      <c r="M26" s="178">
        <f>+'C&amp;A'!E27*0.02</f>
        <v>10.2256</v>
      </c>
      <c r="N26" s="178">
        <f t="shared" si="26"/>
        <v>645.31060000000002</v>
      </c>
      <c r="O26" s="178">
        <f t="shared" si="27"/>
        <v>103.249696</v>
      </c>
      <c r="P26" s="178">
        <f t="shared" si="28"/>
        <v>748.56029599999999</v>
      </c>
      <c r="Q26" s="179">
        <f>+K26-'C&amp;A'!J27-SINDICATO!L27</f>
        <v>115.21000000000004</v>
      </c>
      <c r="R26" s="102" t="s">
        <v>180</v>
      </c>
      <c r="S26" s="102" t="s">
        <v>182</v>
      </c>
      <c r="T26" s="160" t="s">
        <v>51</v>
      </c>
      <c r="U26" s="102" t="s">
        <v>47</v>
      </c>
      <c r="V26" s="102"/>
      <c r="W26" s="102"/>
      <c r="X26" s="161">
        <v>511.28</v>
      </c>
      <c r="Y26" s="161">
        <v>0</v>
      </c>
      <c r="Z26" s="161">
        <f t="shared" si="0"/>
        <v>511.28</v>
      </c>
      <c r="AA26" s="162"/>
      <c r="AB26" s="162"/>
      <c r="AC26" s="162"/>
      <c r="AD26" s="163"/>
      <c r="AE26" s="164">
        <f t="shared" si="1"/>
        <v>511.28</v>
      </c>
      <c r="AF26" s="162"/>
      <c r="AG26" s="165"/>
      <c r="AH26" s="165"/>
      <c r="AI26" s="162"/>
      <c r="AJ26" s="161">
        <v>115.26</v>
      </c>
      <c r="AK26" s="164">
        <f t="shared" si="2"/>
        <v>396.02</v>
      </c>
      <c r="AL26" s="165">
        <f t="shared" si="3"/>
        <v>0</v>
      </c>
      <c r="AM26" s="164">
        <f t="shared" si="4"/>
        <v>396.02</v>
      </c>
      <c r="AN26" s="165">
        <f t="shared" si="5"/>
        <v>51.128</v>
      </c>
      <c r="AO26" s="165">
        <f t="shared" si="6"/>
        <v>10.2256</v>
      </c>
      <c r="AP26" s="164">
        <f t="shared" si="7"/>
        <v>572.6336</v>
      </c>
      <c r="AQ26" s="180"/>
      <c r="AR26" s="181" t="s">
        <v>235</v>
      </c>
      <c r="AS26" s="182" t="s">
        <v>81</v>
      </c>
      <c r="AT26" s="183">
        <v>438.24</v>
      </c>
      <c r="AU26" s="183">
        <v>73.040000000000006</v>
      </c>
      <c r="AV26" s="183">
        <v>511.28</v>
      </c>
      <c r="AW26" s="184">
        <v>-66.069999999999993</v>
      </c>
      <c r="AX26" s="183">
        <v>0.15</v>
      </c>
      <c r="AY26" s="183">
        <v>-65.92</v>
      </c>
      <c r="AZ26" s="183">
        <v>577.20000000000005</v>
      </c>
      <c r="BC26" s="198"/>
      <c r="BD26" s="205"/>
      <c r="BG26" s="102" t="s">
        <v>180</v>
      </c>
      <c r="BH26" s="102" t="s">
        <v>182</v>
      </c>
      <c r="BI26" s="160" t="s">
        <v>51</v>
      </c>
      <c r="BJ26" s="102" t="s">
        <v>47</v>
      </c>
      <c r="BK26" s="102"/>
      <c r="BL26" s="102"/>
      <c r="BM26" s="161">
        <v>577.35</v>
      </c>
      <c r="BN26" s="161">
        <v>0</v>
      </c>
      <c r="BO26" s="161">
        <f t="shared" si="8"/>
        <v>577.35</v>
      </c>
      <c r="BP26" s="175"/>
      <c r="BQ26" s="162"/>
      <c r="BR26" s="162"/>
      <c r="BS26" s="163"/>
      <c r="BT26" s="164">
        <f t="shared" si="9"/>
        <v>577.35</v>
      </c>
      <c r="BU26" s="162"/>
      <c r="BV26" s="165"/>
      <c r="BW26" s="165"/>
      <c r="BX26" s="162"/>
      <c r="BY26" s="161">
        <v>115.26</v>
      </c>
      <c r="BZ26" s="164">
        <f t="shared" si="10"/>
        <v>462.09000000000003</v>
      </c>
      <c r="CA26" s="165">
        <f t="shared" si="11"/>
        <v>0</v>
      </c>
      <c r="CB26" s="164">
        <f t="shared" si="12"/>
        <v>462.09000000000003</v>
      </c>
      <c r="CC26" s="165">
        <f t="shared" si="13"/>
        <v>57.735000000000007</v>
      </c>
      <c r="CD26" s="165">
        <f t="shared" si="14"/>
        <v>11.547000000000001</v>
      </c>
      <c r="CE26" s="164">
        <f t="shared" si="15"/>
        <v>646.63200000000006</v>
      </c>
      <c r="CF26" s="166"/>
      <c r="CG26" s="159"/>
      <c r="CH26" s="159"/>
      <c r="CI26" s="167">
        <f t="shared" si="16"/>
        <v>-462.09000000000003</v>
      </c>
      <c r="CJ26" s="166" t="s">
        <v>273</v>
      </c>
      <c r="CK26" s="166"/>
      <c r="CL26" s="166"/>
      <c r="CM26" s="166"/>
      <c r="CN26" s="166" t="s">
        <v>304</v>
      </c>
      <c r="CO26" s="166"/>
      <c r="CP26" s="166"/>
    </row>
    <row r="27" spans="1:94" s="185" customFormat="1" hidden="1" x14ac:dyDescent="0.25">
      <c r="A27" s="176" t="s">
        <v>82</v>
      </c>
      <c r="B27" s="194" t="s">
        <v>36</v>
      </c>
      <c r="C27" s="178">
        <f t="shared" si="17"/>
        <v>1166.6600000000001</v>
      </c>
      <c r="D27" s="178">
        <v>0</v>
      </c>
      <c r="E27" s="178">
        <f t="shared" si="18"/>
        <v>1759.78</v>
      </c>
      <c r="F27" s="178">
        <f t="shared" si="19"/>
        <v>0</v>
      </c>
      <c r="G27" s="178">
        <f t="shared" si="20"/>
        <v>0</v>
      </c>
      <c r="H27" s="178">
        <f t="shared" si="21"/>
        <v>89.36</v>
      </c>
      <c r="I27" s="178">
        <f t="shared" si="22"/>
        <v>0</v>
      </c>
      <c r="J27" s="178">
        <f t="shared" si="23"/>
        <v>2837.08</v>
      </c>
      <c r="K27" s="178">
        <f t="shared" si="24"/>
        <v>2926.44</v>
      </c>
      <c r="L27" s="178">
        <f t="shared" si="25"/>
        <v>292.64400000000001</v>
      </c>
      <c r="M27" s="178">
        <f>+'C&amp;A'!E28*0.02</f>
        <v>10.2256</v>
      </c>
      <c r="N27" s="178">
        <f t="shared" si="26"/>
        <v>3229.3096</v>
      </c>
      <c r="O27" s="178">
        <f t="shared" si="27"/>
        <v>516.68953599999998</v>
      </c>
      <c r="P27" s="178">
        <f t="shared" si="28"/>
        <v>3745.9991359999999</v>
      </c>
      <c r="Q27" s="179">
        <f>+K27-'C&amp;A'!J28-SINDICATO!L28</f>
        <v>89.360000000000127</v>
      </c>
      <c r="R27" s="102" t="s">
        <v>177</v>
      </c>
      <c r="S27" s="102" t="s">
        <v>178</v>
      </c>
      <c r="T27" s="160">
        <v>21</v>
      </c>
      <c r="U27" s="102" t="s">
        <v>46</v>
      </c>
      <c r="V27" s="102"/>
      <c r="W27" s="102"/>
      <c r="X27" s="161">
        <v>511.28</v>
      </c>
      <c r="Y27" s="161">
        <v>655.38000000000011</v>
      </c>
      <c r="Z27" s="161">
        <f t="shared" si="0"/>
        <v>1166.6600000000001</v>
      </c>
      <c r="AA27" s="162">
        <v>1702.74</v>
      </c>
      <c r="AB27" s="162"/>
      <c r="AC27" s="162"/>
      <c r="AD27" s="163"/>
      <c r="AE27" s="164">
        <f t="shared" si="1"/>
        <v>2869.4</v>
      </c>
      <c r="AF27" s="162"/>
      <c r="AG27" s="165"/>
      <c r="AH27" s="165"/>
      <c r="AI27" s="162"/>
      <c r="AJ27" s="161">
        <v>89.36</v>
      </c>
      <c r="AK27" s="164">
        <f t="shared" si="2"/>
        <v>2780.04</v>
      </c>
      <c r="AL27" s="165">
        <f t="shared" si="3"/>
        <v>0</v>
      </c>
      <c r="AM27" s="164">
        <f t="shared" si="4"/>
        <v>2780.04</v>
      </c>
      <c r="AN27" s="165">
        <f t="shared" si="5"/>
        <v>286.94</v>
      </c>
      <c r="AO27" s="165">
        <f t="shared" si="6"/>
        <v>10.2256</v>
      </c>
      <c r="AP27" s="164">
        <f t="shared" si="7"/>
        <v>3166.5656000000004</v>
      </c>
      <c r="AQ27" s="180"/>
      <c r="AR27" s="181" t="s">
        <v>236</v>
      </c>
      <c r="AS27" s="182" t="s">
        <v>83</v>
      </c>
      <c r="AT27" s="183">
        <v>438.24</v>
      </c>
      <c r="AU27" s="183">
        <v>73.040000000000006</v>
      </c>
      <c r="AV27" s="183">
        <v>511.28</v>
      </c>
      <c r="AW27" s="184">
        <v>-66.069999999999993</v>
      </c>
      <c r="AX27" s="184">
        <v>-0.05</v>
      </c>
      <c r="AY27" s="183">
        <v>-66.12</v>
      </c>
      <c r="AZ27" s="183">
        <v>577.4</v>
      </c>
      <c r="BC27" s="198"/>
      <c r="BD27" s="205"/>
      <c r="BG27" s="102" t="s">
        <v>177</v>
      </c>
      <c r="BH27" s="102" t="s">
        <v>178</v>
      </c>
      <c r="BI27" s="160">
        <v>21</v>
      </c>
      <c r="BJ27" s="102" t="s">
        <v>46</v>
      </c>
      <c r="BK27" s="102"/>
      <c r="BL27" s="102"/>
      <c r="BM27" s="161">
        <v>511.28</v>
      </c>
      <c r="BN27" s="161">
        <v>655.38000000000011</v>
      </c>
      <c r="BO27" s="161">
        <f t="shared" si="8"/>
        <v>1166.6600000000001</v>
      </c>
      <c r="BP27" s="186">
        <v>1759.78</v>
      </c>
      <c r="BQ27" s="162"/>
      <c r="BR27" s="162"/>
      <c r="BS27" s="163"/>
      <c r="BT27" s="164">
        <f t="shared" si="9"/>
        <v>2926.44</v>
      </c>
      <c r="BU27" s="162"/>
      <c r="BV27" s="165"/>
      <c r="BW27" s="165"/>
      <c r="BX27" s="162"/>
      <c r="BY27" s="161">
        <v>89.36</v>
      </c>
      <c r="BZ27" s="164">
        <f t="shared" si="10"/>
        <v>2837.08</v>
      </c>
      <c r="CA27" s="165">
        <f t="shared" si="11"/>
        <v>0</v>
      </c>
      <c r="CB27" s="164">
        <f t="shared" si="12"/>
        <v>2837.08</v>
      </c>
      <c r="CC27" s="165">
        <f t="shared" si="13"/>
        <v>292.64400000000001</v>
      </c>
      <c r="CD27" s="165">
        <f t="shared" si="14"/>
        <v>10.2256</v>
      </c>
      <c r="CE27" s="164">
        <f t="shared" si="15"/>
        <v>3229.3096</v>
      </c>
      <c r="CF27" s="166"/>
      <c r="CG27" s="159"/>
      <c r="CH27" s="159"/>
      <c r="CI27" s="167">
        <f t="shared" si="16"/>
        <v>-2837.08</v>
      </c>
      <c r="CJ27" s="166" t="s">
        <v>274</v>
      </c>
      <c r="CK27" s="166"/>
      <c r="CL27" s="166"/>
      <c r="CM27" s="166"/>
      <c r="CN27" s="166" t="s">
        <v>305</v>
      </c>
      <c r="CO27" s="166"/>
      <c r="CP27" s="166"/>
    </row>
    <row r="28" spans="1:94" s="185" customFormat="1" x14ac:dyDescent="0.25">
      <c r="A28" s="176" t="s">
        <v>84</v>
      </c>
      <c r="B28" s="177" t="s">
        <v>57</v>
      </c>
      <c r="C28" s="178">
        <f t="shared" si="17"/>
        <v>511.28</v>
      </c>
      <c r="D28" s="178">
        <v>0</v>
      </c>
      <c r="E28" s="178">
        <f t="shared" si="18"/>
        <v>15789.72</v>
      </c>
      <c r="F28" s="178">
        <f t="shared" si="19"/>
        <v>0</v>
      </c>
      <c r="G28" s="178">
        <f t="shared" si="20"/>
        <v>0</v>
      </c>
      <c r="H28" s="178">
        <f t="shared" si="21"/>
        <v>0</v>
      </c>
      <c r="I28" s="178">
        <f t="shared" si="22"/>
        <v>1630.1000000000001</v>
      </c>
      <c r="J28" s="178">
        <f t="shared" si="23"/>
        <v>14670.9</v>
      </c>
      <c r="K28" s="178">
        <f t="shared" si="24"/>
        <v>16301</v>
      </c>
      <c r="L28" s="178">
        <f t="shared" si="25"/>
        <v>0</v>
      </c>
      <c r="M28" s="178">
        <f>+'C&amp;A'!E29*0.02</f>
        <v>10.2256</v>
      </c>
      <c r="N28" s="178">
        <f t="shared" si="26"/>
        <v>16311.2256</v>
      </c>
      <c r="O28" s="178">
        <f t="shared" si="27"/>
        <v>2609.796096</v>
      </c>
      <c r="P28" s="178">
        <f t="shared" si="28"/>
        <v>18921.021696</v>
      </c>
      <c r="Q28" s="179">
        <f>+K28-'C&amp;A'!J29-SINDICATO!L29</f>
        <v>1630.1000000000004</v>
      </c>
      <c r="R28" s="102" t="s">
        <v>185</v>
      </c>
      <c r="S28" s="102" t="s">
        <v>198</v>
      </c>
      <c r="T28" s="160" t="s">
        <v>56</v>
      </c>
      <c r="U28" s="102" t="s">
        <v>47</v>
      </c>
      <c r="V28" s="102"/>
      <c r="W28" s="102"/>
      <c r="X28" s="161">
        <v>511.28</v>
      </c>
      <c r="Y28" s="161">
        <v>0</v>
      </c>
      <c r="Z28" s="161">
        <f t="shared" si="0"/>
        <v>511.28</v>
      </c>
      <c r="AA28" s="162">
        <v>3853.59</v>
      </c>
      <c r="AB28" s="162"/>
      <c r="AC28" s="162"/>
      <c r="AD28" s="163"/>
      <c r="AE28" s="164">
        <f t="shared" si="1"/>
        <v>4364.87</v>
      </c>
      <c r="AF28" s="162"/>
      <c r="AG28" s="165"/>
      <c r="AH28" s="165"/>
      <c r="AI28" s="162"/>
      <c r="AJ28" s="161">
        <v>0</v>
      </c>
      <c r="AK28" s="164">
        <f t="shared" si="2"/>
        <v>4364.87</v>
      </c>
      <c r="AL28" s="165">
        <f t="shared" si="3"/>
        <v>0</v>
      </c>
      <c r="AM28" s="164">
        <f t="shared" si="4"/>
        <v>4364.87</v>
      </c>
      <c r="AN28" s="165">
        <f t="shared" si="5"/>
        <v>436.48700000000002</v>
      </c>
      <c r="AO28" s="165">
        <f t="shared" si="6"/>
        <v>10.2256</v>
      </c>
      <c r="AP28" s="164">
        <f t="shared" si="7"/>
        <v>4811.5825999999997</v>
      </c>
      <c r="AQ28" s="180"/>
      <c r="AR28" s="181" t="s">
        <v>237</v>
      </c>
      <c r="AS28" s="182" t="s">
        <v>85</v>
      </c>
      <c r="AT28" s="183">
        <v>438.24</v>
      </c>
      <c r="AU28" s="183">
        <v>73.040000000000006</v>
      </c>
      <c r="AV28" s="183">
        <v>511.28</v>
      </c>
      <c r="AW28" s="184">
        <v>-66.069999999999993</v>
      </c>
      <c r="AX28" s="184">
        <v>-0.05</v>
      </c>
      <c r="AY28" s="183">
        <v>-66.12</v>
      </c>
      <c r="AZ28" s="183">
        <v>577.4</v>
      </c>
      <c r="BC28" s="198"/>
      <c r="BD28" s="205"/>
      <c r="BG28" s="102" t="s">
        <v>185</v>
      </c>
      <c r="BH28" s="102" t="s">
        <v>198</v>
      </c>
      <c r="BI28" s="160" t="s">
        <v>56</v>
      </c>
      <c r="BJ28" s="102" t="s">
        <v>47</v>
      </c>
      <c r="BK28" s="102"/>
      <c r="BL28" s="102"/>
      <c r="BM28" s="161">
        <v>511.28</v>
      </c>
      <c r="BN28" s="161">
        <v>0</v>
      </c>
      <c r="BO28" s="161">
        <f t="shared" si="8"/>
        <v>511.28</v>
      </c>
      <c r="BP28" s="188">
        <f>13789.72+2000</f>
        <v>15789.72</v>
      </c>
      <c r="BQ28" s="162"/>
      <c r="BR28" s="162"/>
      <c r="BS28" s="163"/>
      <c r="BT28" s="164">
        <f t="shared" si="9"/>
        <v>16301</v>
      </c>
      <c r="BU28" s="162"/>
      <c r="BV28" s="165"/>
      <c r="BW28" s="165"/>
      <c r="BX28" s="162"/>
      <c r="BY28" s="161">
        <v>0</v>
      </c>
      <c r="BZ28" s="164">
        <f t="shared" si="10"/>
        <v>16301</v>
      </c>
      <c r="CA28" s="165">
        <f t="shared" si="11"/>
        <v>1630.1000000000001</v>
      </c>
      <c r="CB28" s="164">
        <f t="shared" si="12"/>
        <v>14670.9</v>
      </c>
      <c r="CC28" s="165">
        <f t="shared" si="13"/>
        <v>0</v>
      </c>
      <c r="CD28" s="165">
        <f t="shared" si="14"/>
        <v>10.2256</v>
      </c>
      <c r="CE28" s="164">
        <f t="shared" si="15"/>
        <v>16311.2256</v>
      </c>
      <c r="CF28" s="166"/>
      <c r="CG28" s="159"/>
      <c r="CH28" s="159"/>
      <c r="CI28" s="167">
        <f t="shared" si="16"/>
        <v>-14670.9</v>
      </c>
      <c r="CJ28" s="166" t="s">
        <v>275</v>
      </c>
      <c r="CK28" s="166"/>
      <c r="CL28" s="166"/>
      <c r="CM28" s="166"/>
      <c r="CN28" s="166" t="s">
        <v>304</v>
      </c>
      <c r="CO28" s="166"/>
      <c r="CP28" s="166"/>
    </row>
    <row r="29" spans="1:94" s="185" customFormat="1" x14ac:dyDescent="0.25">
      <c r="A29" s="176" t="s">
        <v>55</v>
      </c>
      <c r="B29" s="187" t="s">
        <v>105</v>
      </c>
      <c r="C29" s="178">
        <f t="shared" si="17"/>
        <v>584.31999999999994</v>
      </c>
      <c r="D29" s="178">
        <v>0</v>
      </c>
      <c r="E29" s="178">
        <f t="shared" si="18"/>
        <v>22264.880000000001</v>
      </c>
      <c r="F29" s="178">
        <f t="shared" si="19"/>
        <v>0</v>
      </c>
      <c r="G29" s="178">
        <f t="shared" si="20"/>
        <v>0</v>
      </c>
      <c r="H29" s="178">
        <f t="shared" si="21"/>
        <v>0</v>
      </c>
      <c r="I29" s="178">
        <f t="shared" si="22"/>
        <v>2284.92</v>
      </c>
      <c r="J29" s="178">
        <f t="shared" si="23"/>
        <v>20564.28</v>
      </c>
      <c r="K29" s="178">
        <f t="shared" si="24"/>
        <v>22849.200000000001</v>
      </c>
      <c r="L29" s="178">
        <f t="shared" si="25"/>
        <v>0</v>
      </c>
      <c r="M29" s="178">
        <f>+'C&amp;A'!E30*0.02</f>
        <v>10.2256</v>
      </c>
      <c r="N29" s="178">
        <f t="shared" si="26"/>
        <v>22859.425600000002</v>
      </c>
      <c r="O29" s="178">
        <f t="shared" si="27"/>
        <v>3657.5080960000005</v>
      </c>
      <c r="P29" s="178">
        <f t="shared" si="28"/>
        <v>26516.933696000004</v>
      </c>
      <c r="Q29" s="179">
        <f>+K29-'C&amp;A'!J30-SINDICATO!L30</f>
        <v>2284.9200000000019</v>
      </c>
      <c r="R29" s="102" t="s">
        <v>185</v>
      </c>
      <c r="S29" s="102" t="s">
        <v>197</v>
      </c>
      <c r="T29" s="160" t="s">
        <v>55</v>
      </c>
      <c r="U29" s="102" t="s">
        <v>47</v>
      </c>
      <c r="V29" s="102"/>
      <c r="W29" s="102"/>
      <c r="X29" s="161">
        <v>511.28</v>
      </c>
      <c r="Y29" s="161">
        <v>73.039999999999964</v>
      </c>
      <c r="Z29" s="161">
        <f t="shared" si="0"/>
        <v>584.31999999999994</v>
      </c>
      <c r="AA29" s="162">
        <v>525.28</v>
      </c>
      <c r="AB29" s="162"/>
      <c r="AC29" s="162"/>
      <c r="AD29" s="163"/>
      <c r="AE29" s="164">
        <f t="shared" si="1"/>
        <v>1109.5999999999999</v>
      </c>
      <c r="AF29" s="162"/>
      <c r="AG29" s="165"/>
      <c r="AH29" s="165"/>
      <c r="AI29" s="162"/>
      <c r="AJ29" s="161">
        <v>0</v>
      </c>
      <c r="AK29" s="164">
        <f t="shared" si="2"/>
        <v>1109.5999999999999</v>
      </c>
      <c r="AL29" s="165">
        <f t="shared" si="3"/>
        <v>0</v>
      </c>
      <c r="AM29" s="164">
        <f t="shared" si="4"/>
        <v>1109.5999999999999</v>
      </c>
      <c r="AN29" s="165">
        <f t="shared" si="5"/>
        <v>110.96</v>
      </c>
      <c r="AO29" s="165">
        <f t="shared" si="6"/>
        <v>10.2256</v>
      </c>
      <c r="AP29" s="164">
        <f t="shared" si="7"/>
        <v>1230.7855999999999</v>
      </c>
      <c r="AQ29" s="180"/>
      <c r="AR29" s="181" t="s">
        <v>238</v>
      </c>
      <c r="AS29" s="182" t="s">
        <v>86</v>
      </c>
      <c r="AT29" s="183">
        <v>438.24</v>
      </c>
      <c r="AU29" s="183">
        <v>73.040000000000006</v>
      </c>
      <c r="AV29" s="183">
        <v>511.28</v>
      </c>
      <c r="AW29" s="184">
        <v>-66.069999999999993</v>
      </c>
      <c r="AX29" s="184">
        <v>-0.05</v>
      </c>
      <c r="AY29" s="183">
        <v>-66.12</v>
      </c>
      <c r="AZ29" s="183">
        <v>577.4</v>
      </c>
      <c r="BC29" s="198"/>
      <c r="BD29" s="205"/>
      <c r="BG29" s="102" t="s">
        <v>185</v>
      </c>
      <c r="BH29" s="102" t="s">
        <v>197</v>
      </c>
      <c r="BI29" s="160" t="s">
        <v>55</v>
      </c>
      <c r="BJ29" s="102" t="s">
        <v>47</v>
      </c>
      <c r="BK29" s="102"/>
      <c r="BL29" s="102"/>
      <c r="BM29" s="161">
        <v>511.28</v>
      </c>
      <c r="BN29" s="161">
        <v>73.039999999999964</v>
      </c>
      <c r="BO29" s="161">
        <f t="shared" si="8"/>
        <v>584.31999999999994</v>
      </c>
      <c r="BP29" s="195">
        <v>22264.880000000001</v>
      </c>
      <c r="BQ29" s="162"/>
      <c r="BR29" s="162"/>
      <c r="BS29" s="163"/>
      <c r="BT29" s="164">
        <f t="shared" si="9"/>
        <v>22849.200000000001</v>
      </c>
      <c r="BU29" s="162"/>
      <c r="BV29" s="165"/>
      <c r="BW29" s="165"/>
      <c r="BX29" s="162"/>
      <c r="BY29" s="161">
        <v>0</v>
      </c>
      <c r="BZ29" s="164">
        <f t="shared" si="10"/>
        <v>22849.200000000001</v>
      </c>
      <c r="CA29" s="165">
        <f t="shared" si="11"/>
        <v>2284.92</v>
      </c>
      <c r="CB29" s="164">
        <f t="shared" si="12"/>
        <v>20564.28</v>
      </c>
      <c r="CC29" s="165">
        <f t="shared" si="13"/>
        <v>0</v>
      </c>
      <c r="CD29" s="165">
        <f t="shared" si="14"/>
        <v>10.2256</v>
      </c>
      <c r="CE29" s="164">
        <f t="shared" si="15"/>
        <v>22859.425600000002</v>
      </c>
      <c r="CF29" s="166"/>
      <c r="CG29" s="159"/>
      <c r="CH29" s="159"/>
      <c r="CI29" s="167">
        <f t="shared" si="16"/>
        <v>-20564.28</v>
      </c>
      <c r="CJ29" s="166" t="s">
        <v>276</v>
      </c>
      <c r="CK29" s="166"/>
      <c r="CL29" s="166"/>
      <c r="CM29" s="166"/>
      <c r="CN29" s="166" t="s">
        <v>304</v>
      </c>
      <c r="CO29" s="166"/>
      <c r="CP29" s="166"/>
    </row>
    <row r="30" spans="1:94" s="185" customFormat="1" hidden="1" x14ac:dyDescent="0.25">
      <c r="A30" s="176" t="s">
        <v>87</v>
      </c>
      <c r="B30" s="177" t="s">
        <v>112</v>
      </c>
      <c r="C30" s="178">
        <f t="shared" si="17"/>
        <v>1166.67</v>
      </c>
      <c r="D30" s="178">
        <v>0</v>
      </c>
      <c r="E30" s="178">
        <f t="shared" si="18"/>
        <v>1679.26</v>
      </c>
      <c r="F30" s="178">
        <f t="shared" si="19"/>
        <v>0</v>
      </c>
      <c r="G30" s="178">
        <f t="shared" si="20"/>
        <v>0</v>
      </c>
      <c r="H30" s="178">
        <f t="shared" si="21"/>
        <v>0</v>
      </c>
      <c r="I30" s="178">
        <f t="shared" si="22"/>
        <v>0</v>
      </c>
      <c r="J30" s="178">
        <f t="shared" si="23"/>
        <v>2845.9300000000003</v>
      </c>
      <c r="K30" s="178">
        <f t="shared" si="24"/>
        <v>2845.9300000000003</v>
      </c>
      <c r="L30" s="178">
        <f t="shared" si="25"/>
        <v>284.59300000000002</v>
      </c>
      <c r="M30" s="178">
        <f>+'C&amp;A'!E31*0.02</f>
        <v>10.2256</v>
      </c>
      <c r="N30" s="178">
        <f t="shared" si="26"/>
        <v>3140.7486000000004</v>
      </c>
      <c r="O30" s="178">
        <f t="shared" si="27"/>
        <v>502.51977600000009</v>
      </c>
      <c r="P30" s="178">
        <f t="shared" si="28"/>
        <v>3643.2683760000004</v>
      </c>
      <c r="Q30" s="179">
        <f>+K30-'C&amp;A'!J31-SINDICATO!L31</f>
        <v>0</v>
      </c>
      <c r="R30" s="102" t="s">
        <v>177</v>
      </c>
      <c r="S30" s="102" t="s">
        <v>112</v>
      </c>
      <c r="T30" s="160" t="s">
        <v>38</v>
      </c>
      <c r="U30" s="102" t="s">
        <v>46</v>
      </c>
      <c r="V30" s="102"/>
      <c r="W30" s="102"/>
      <c r="X30" s="161">
        <v>511.28</v>
      </c>
      <c r="Y30" s="161">
        <v>655.3900000000001</v>
      </c>
      <c r="Z30" s="161">
        <f t="shared" si="0"/>
        <v>1166.67</v>
      </c>
      <c r="AA30" s="162">
        <v>1591.95</v>
      </c>
      <c r="AB30" s="162"/>
      <c r="AC30" s="162"/>
      <c r="AD30" s="163"/>
      <c r="AE30" s="164">
        <f t="shared" si="1"/>
        <v>2758.62</v>
      </c>
      <c r="AF30" s="162"/>
      <c r="AG30" s="165"/>
      <c r="AH30" s="165"/>
      <c r="AI30" s="162"/>
      <c r="AJ30" s="161">
        <v>0</v>
      </c>
      <c r="AK30" s="164">
        <f t="shared" si="2"/>
        <v>2758.62</v>
      </c>
      <c r="AL30" s="165">
        <f t="shared" si="3"/>
        <v>0</v>
      </c>
      <c r="AM30" s="164">
        <f t="shared" si="4"/>
        <v>2758.62</v>
      </c>
      <c r="AN30" s="165">
        <f t="shared" si="5"/>
        <v>275.86200000000002</v>
      </c>
      <c r="AO30" s="165">
        <f t="shared" si="6"/>
        <v>10.2256</v>
      </c>
      <c r="AP30" s="164">
        <f t="shared" si="7"/>
        <v>3044.7076000000002</v>
      </c>
      <c r="AQ30" s="180"/>
      <c r="AR30" s="181" t="s">
        <v>239</v>
      </c>
      <c r="AS30" s="182" t="s">
        <v>88</v>
      </c>
      <c r="AT30" s="183">
        <v>438.24</v>
      </c>
      <c r="AU30" s="183">
        <v>73.040000000000006</v>
      </c>
      <c r="AV30" s="183">
        <v>511.28</v>
      </c>
      <c r="AW30" s="184">
        <v>-66.069999999999993</v>
      </c>
      <c r="AX30" s="184">
        <v>-0.05</v>
      </c>
      <c r="AY30" s="183">
        <v>-66.12</v>
      </c>
      <c r="AZ30" s="183">
        <v>577.4</v>
      </c>
      <c r="BC30" s="198"/>
      <c r="BD30" s="205"/>
      <c r="BG30" s="102" t="s">
        <v>177</v>
      </c>
      <c r="BH30" s="102" t="s">
        <v>112</v>
      </c>
      <c r="BI30" s="160" t="s">
        <v>38</v>
      </c>
      <c r="BJ30" s="102" t="s">
        <v>46</v>
      </c>
      <c r="BK30" s="102"/>
      <c r="BL30" s="102"/>
      <c r="BM30" s="161">
        <v>511.28</v>
      </c>
      <c r="BN30" s="161">
        <v>655.3900000000001</v>
      </c>
      <c r="BO30" s="161">
        <f t="shared" si="8"/>
        <v>1166.67</v>
      </c>
      <c r="BP30" s="186">
        <v>1679.26</v>
      </c>
      <c r="BQ30" s="162"/>
      <c r="BR30" s="162"/>
      <c r="BS30" s="163"/>
      <c r="BT30" s="164">
        <f t="shared" si="9"/>
        <v>2845.9300000000003</v>
      </c>
      <c r="BU30" s="162"/>
      <c r="BV30" s="165"/>
      <c r="BW30" s="165"/>
      <c r="BX30" s="162"/>
      <c r="BY30" s="161">
        <v>0</v>
      </c>
      <c r="BZ30" s="164">
        <f t="shared" si="10"/>
        <v>2845.9300000000003</v>
      </c>
      <c r="CA30" s="165">
        <f t="shared" si="11"/>
        <v>0</v>
      </c>
      <c r="CB30" s="164">
        <f t="shared" si="12"/>
        <v>2845.9300000000003</v>
      </c>
      <c r="CC30" s="165">
        <f t="shared" si="13"/>
        <v>284.59300000000002</v>
      </c>
      <c r="CD30" s="165">
        <f t="shared" si="14"/>
        <v>10.2256</v>
      </c>
      <c r="CE30" s="164">
        <f t="shared" si="15"/>
        <v>3140.7486000000004</v>
      </c>
      <c r="CF30" s="166"/>
      <c r="CG30" s="159"/>
      <c r="CH30" s="159"/>
      <c r="CI30" s="167">
        <f t="shared" si="16"/>
        <v>-2845.9300000000003</v>
      </c>
      <c r="CJ30" s="166" t="s">
        <v>280</v>
      </c>
      <c r="CK30" s="166"/>
      <c r="CL30" s="166"/>
      <c r="CM30" s="166"/>
      <c r="CN30" s="166" t="s">
        <v>305</v>
      </c>
      <c r="CO30" s="166"/>
      <c r="CP30" s="166"/>
    </row>
    <row r="31" spans="1:94" s="185" customFormat="1" x14ac:dyDescent="0.25">
      <c r="A31" s="176" t="s">
        <v>58</v>
      </c>
      <c r="B31" s="187" t="s">
        <v>32</v>
      </c>
      <c r="C31" s="178">
        <f t="shared" si="17"/>
        <v>700</v>
      </c>
      <c r="D31" s="178">
        <v>0</v>
      </c>
      <c r="E31" s="178">
        <f t="shared" si="18"/>
        <v>15193.39</v>
      </c>
      <c r="F31" s="178">
        <f t="shared" si="19"/>
        <v>0</v>
      </c>
      <c r="G31" s="178">
        <f t="shared" si="20"/>
        <v>0</v>
      </c>
      <c r="H31" s="178">
        <f t="shared" si="21"/>
        <v>0</v>
      </c>
      <c r="I31" s="178">
        <f t="shared" si="22"/>
        <v>1589.3389999999999</v>
      </c>
      <c r="J31" s="178">
        <f t="shared" si="23"/>
        <v>14304.050999999999</v>
      </c>
      <c r="K31" s="178">
        <f t="shared" si="24"/>
        <v>15893.39</v>
      </c>
      <c r="L31" s="178">
        <f t="shared" si="25"/>
        <v>0</v>
      </c>
      <c r="M31" s="178">
        <f>+'C&amp;A'!E32*0.02</f>
        <v>10.2256</v>
      </c>
      <c r="N31" s="178">
        <f t="shared" si="26"/>
        <v>15903.615599999999</v>
      </c>
      <c r="O31" s="178">
        <f t="shared" si="27"/>
        <v>2544.5784960000001</v>
      </c>
      <c r="P31" s="178">
        <f t="shared" si="28"/>
        <v>18448.194095999999</v>
      </c>
      <c r="Q31" s="179">
        <f>+K31-'C&amp;A'!J32-SINDICATO!L32</f>
        <v>1589.3389999999999</v>
      </c>
      <c r="R31" s="102" t="s">
        <v>185</v>
      </c>
      <c r="S31" s="102" t="s">
        <v>32</v>
      </c>
      <c r="T31" s="160" t="s">
        <v>58</v>
      </c>
      <c r="U31" s="102" t="s">
        <v>47</v>
      </c>
      <c r="V31" s="102"/>
      <c r="W31" s="102"/>
      <c r="X31" s="161">
        <v>511.28</v>
      </c>
      <c r="Y31" s="161">
        <v>188.72000000000003</v>
      </c>
      <c r="Z31" s="161">
        <f t="shared" si="0"/>
        <v>700</v>
      </c>
      <c r="AA31" s="162">
        <f>688+2000</f>
        <v>2688</v>
      </c>
      <c r="AB31" s="162"/>
      <c r="AC31" s="162"/>
      <c r="AD31" s="163"/>
      <c r="AE31" s="164">
        <f t="shared" si="1"/>
        <v>3388</v>
      </c>
      <c r="AF31" s="162"/>
      <c r="AG31" s="165"/>
      <c r="AH31" s="165"/>
      <c r="AI31" s="162"/>
      <c r="AJ31" s="161">
        <v>0</v>
      </c>
      <c r="AK31" s="164">
        <f t="shared" si="2"/>
        <v>3388</v>
      </c>
      <c r="AL31" s="165">
        <f t="shared" si="3"/>
        <v>0</v>
      </c>
      <c r="AM31" s="164">
        <f t="shared" si="4"/>
        <v>3388</v>
      </c>
      <c r="AN31" s="165">
        <f t="shared" si="5"/>
        <v>338.8</v>
      </c>
      <c r="AO31" s="165">
        <f t="shared" si="6"/>
        <v>10.2256</v>
      </c>
      <c r="AP31" s="164">
        <f t="shared" si="7"/>
        <v>3737.0256000000004</v>
      </c>
      <c r="AQ31" s="180"/>
      <c r="AR31" s="181" t="s">
        <v>240</v>
      </c>
      <c r="AS31" s="182" t="s">
        <v>89</v>
      </c>
      <c r="AT31" s="183">
        <v>438.24</v>
      </c>
      <c r="AU31" s="183">
        <v>73.040000000000006</v>
      </c>
      <c r="AV31" s="183">
        <v>511.28</v>
      </c>
      <c r="AW31" s="184">
        <v>-66.069999999999993</v>
      </c>
      <c r="AX31" s="184">
        <v>-0.05</v>
      </c>
      <c r="AY31" s="183">
        <v>-66.12</v>
      </c>
      <c r="AZ31" s="183">
        <v>577.4</v>
      </c>
      <c r="BC31" s="198"/>
      <c r="BD31" s="205"/>
      <c r="BG31" s="102" t="s">
        <v>185</v>
      </c>
      <c r="BH31" s="102" t="s">
        <v>32</v>
      </c>
      <c r="BI31" s="160" t="s">
        <v>58</v>
      </c>
      <c r="BJ31" s="102" t="s">
        <v>47</v>
      </c>
      <c r="BK31" s="102"/>
      <c r="BL31" s="102"/>
      <c r="BM31" s="161">
        <v>511.28</v>
      </c>
      <c r="BN31" s="161">
        <v>188.72000000000003</v>
      </c>
      <c r="BO31" s="161">
        <f t="shared" si="8"/>
        <v>700</v>
      </c>
      <c r="BP31" s="189">
        <v>15193.39</v>
      </c>
      <c r="BQ31" s="162"/>
      <c r="BR31" s="162"/>
      <c r="BS31" s="163"/>
      <c r="BT31" s="164">
        <f t="shared" si="9"/>
        <v>15893.39</v>
      </c>
      <c r="BU31" s="162"/>
      <c r="BV31" s="165"/>
      <c r="BW31" s="165"/>
      <c r="BX31" s="162"/>
      <c r="BY31" s="161">
        <v>0</v>
      </c>
      <c r="BZ31" s="164">
        <f t="shared" si="10"/>
        <v>15893.39</v>
      </c>
      <c r="CA31" s="165">
        <f t="shared" si="11"/>
        <v>1589.3389999999999</v>
      </c>
      <c r="CB31" s="164">
        <f t="shared" si="12"/>
        <v>14304.050999999999</v>
      </c>
      <c r="CC31" s="165">
        <f t="shared" si="13"/>
        <v>0</v>
      </c>
      <c r="CD31" s="165">
        <f t="shared" si="14"/>
        <v>10.2256</v>
      </c>
      <c r="CE31" s="164">
        <f t="shared" si="15"/>
        <v>15903.615599999999</v>
      </c>
      <c r="CF31" s="166"/>
      <c r="CG31" s="159"/>
      <c r="CH31" s="159"/>
      <c r="CI31" s="167">
        <f t="shared" si="16"/>
        <v>-14304.050999999999</v>
      </c>
      <c r="CJ31" s="166" t="s">
        <v>281</v>
      </c>
      <c r="CK31" s="166"/>
      <c r="CL31" s="166"/>
      <c r="CM31" s="166"/>
      <c r="CN31" s="166" t="s">
        <v>304</v>
      </c>
      <c r="CO31" s="166"/>
      <c r="CP31" s="166"/>
    </row>
    <row r="32" spans="1:94" s="21" customFormat="1" x14ac:dyDescent="0.25">
      <c r="A32" s="176" t="s">
        <v>296</v>
      </c>
      <c r="B32" s="187" t="s">
        <v>297</v>
      </c>
      <c r="C32" s="178">
        <f t="shared" si="17"/>
        <v>700</v>
      </c>
      <c r="D32" s="178"/>
      <c r="E32" s="178">
        <f t="shared" si="18"/>
        <v>0</v>
      </c>
      <c r="F32" s="178">
        <f t="shared" si="19"/>
        <v>0</v>
      </c>
      <c r="G32" s="178">
        <f t="shared" si="20"/>
        <v>0</v>
      </c>
      <c r="H32" s="178">
        <f t="shared" si="21"/>
        <v>0</v>
      </c>
      <c r="I32" s="178">
        <f t="shared" si="22"/>
        <v>0</v>
      </c>
      <c r="J32" s="178">
        <f t="shared" si="23"/>
        <v>700</v>
      </c>
      <c r="K32" s="178">
        <f t="shared" si="24"/>
        <v>700</v>
      </c>
      <c r="L32" s="178">
        <f t="shared" si="25"/>
        <v>70</v>
      </c>
      <c r="M32" s="178">
        <f>+'C&amp;A'!E33*0.02</f>
        <v>10.2256</v>
      </c>
      <c r="N32" s="178">
        <f t="shared" si="26"/>
        <v>780.22559999999999</v>
      </c>
      <c r="O32" s="178">
        <f t="shared" si="27"/>
        <v>124.836096</v>
      </c>
      <c r="P32" s="178">
        <f t="shared" si="28"/>
        <v>905.06169599999998</v>
      </c>
      <c r="Q32" s="179"/>
      <c r="R32" s="102"/>
      <c r="S32" s="102"/>
      <c r="T32" s="160"/>
      <c r="U32" s="102"/>
      <c r="V32" s="102"/>
      <c r="W32" s="102"/>
      <c r="X32" s="161"/>
      <c r="Y32" s="161"/>
      <c r="Z32" s="161"/>
      <c r="AA32" s="162"/>
      <c r="AB32" s="162"/>
      <c r="AC32" s="162"/>
      <c r="AD32" s="163"/>
      <c r="AE32" s="164"/>
      <c r="AF32" s="162"/>
      <c r="AG32" s="165"/>
      <c r="AH32" s="165"/>
      <c r="AI32" s="162"/>
      <c r="AJ32" s="161"/>
      <c r="AK32" s="164"/>
      <c r="AL32" s="165"/>
      <c r="AM32" s="164"/>
      <c r="AN32" s="165"/>
      <c r="AO32" s="165"/>
      <c r="AP32" s="164"/>
      <c r="AQ32" s="180"/>
      <c r="AR32" s="181"/>
      <c r="AS32" s="182"/>
      <c r="AT32" s="183"/>
      <c r="AU32" s="183"/>
      <c r="AV32" s="183"/>
      <c r="AW32" s="184"/>
      <c r="AX32" s="184"/>
      <c r="AY32" s="183"/>
      <c r="AZ32" s="183"/>
      <c r="BA32" s="185"/>
      <c r="BB32" s="185"/>
      <c r="BC32" s="198"/>
      <c r="BD32" s="205"/>
      <c r="BE32" s="185"/>
      <c r="BF32" s="185"/>
      <c r="BG32" s="102" t="s">
        <v>185</v>
      </c>
      <c r="BH32" s="102" t="s">
        <v>282</v>
      </c>
      <c r="BI32" s="160"/>
      <c r="BJ32" s="102" t="s">
        <v>47</v>
      </c>
      <c r="BK32" s="102"/>
      <c r="BL32" s="102"/>
      <c r="BM32" s="161">
        <v>511.28</v>
      </c>
      <c r="BN32" s="161">
        <v>188.72000000000003</v>
      </c>
      <c r="BO32" s="161">
        <f t="shared" si="8"/>
        <v>700</v>
      </c>
      <c r="BP32" s="162"/>
      <c r="BQ32" s="162"/>
      <c r="BR32" s="162"/>
      <c r="BS32" s="163"/>
      <c r="BT32" s="164">
        <f t="shared" si="9"/>
        <v>700</v>
      </c>
      <c r="BU32" s="162"/>
      <c r="BV32" s="165"/>
      <c r="BW32" s="165"/>
      <c r="BX32" s="162"/>
      <c r="BY32" s="161"/>
      <c r="BZ32" s="164">
        <f t="shared" si="10"/>
        <v>700</v>
      </c>
      <c r="CA32" s="165">
        <f t="shared" si="11"/>
        <v>0</v>
      </c>
      <c r="CB32" s="164">
        <f t="shared" si="12"/>
        <v>700</v>
      </c>
      <c r="CC32" s="165">
        <f t="shared" si="13"/>
        <v>70</v>
      </c>
      <c r="CD32" s="165">
        <f t="shared" si="14"/>
        <v>10.2256</v>
      </c>
      <c r="CE32" s="164">
        <f t="shared" si="15"/>
        <v>780.22559999999999</v>
      </c>
      <c r="CF32" s="166" t="s">
        <v>278</v>
      </c>
      <c r="CG32" s="159"/>
      <c r="CH32" s="159"/>
      <c r="CI32" s="167">
        <f t="shared" si="16"/>
        <v>-700</v>
      </c>
      <c r="CJ32" s="168">
        <v>27213723165</v>
      </c>
      <c r="CK32" s="166"/>
      <c r="CL32" s="99"/>
      <c r="CM32" s="99"/>
      <c r="CN32" s="166" t="s">
        <v>304</v>
      </c>
      <c r="CO32" s="99"/>
      <c r="CP32" s="99"/>
    </row>
    <row r="33" spans="1:94" s="185" customFormat="1" x14ac:dyDescent="0.25">
      <c r="A33" s="176" t="s">
        <v>59</v>
      </c>
      <c r="B33" s="187" t="s">
        <v>33</v>
      </c>
      <c r="C33" s="178">
        <f t="shared" si="17"/>
        <v>700</v>
      </c>
      <c r="D33" s="178">
        <v>0</v>
      </c>
      <c r="E33" s="178">
        <f t="shared" si="18"/>
        <v>0</v>
      </c>
      <c r="F33" s="178">
        <f t="shared" si="19"/>
        <v>0</v>
      </c>
      <c r="G33" s="178">
        <f t="shared" si="20"/>
        <v>0</v>
      </c>
      <c r="H33" s="178">
        <f t="shared" si="21"/>
        <v>0</v>
      </c>
      <c r="I33" s="178">
        <f t="shared" si="22"/>
        <v>0</v>
      </c>
      <c r="J33" s="178">
        <f t="shared" si="23"/>
        <v>700</v>
      </c>
      <c r="K33" s="178">
        <f t="shared" si="24"/>
        <v>700</v>
      </c>
      <c r="L33" s="178">
        <f t="shared" si="25"/>
        <v>70</v>
      </c>
      <c r="M33" s="178">
        <f>+'C&amp;A'!E34*0.02</f>
        <v>10.2256</v>
      </c>
      <c r="N33" s="178">
        <f t="shared" si="26"/>
        <v>780.22559999999999</v>
      </c>
      <c r="O33" s="178">
        <f t="shared" si="27"/>
        <v>124.836096</v>
      </c>
      <c r="P33" s="178">
        <f t="shared" si="28"/>
        <v>905.06169599999998</v>
      </c>
      <c r="Q33" s="179">
        <f>+K33-'C&amp;A'!J34-SINDICATO!L34</f>
        <v>0</v>
      </c>
      <c r="R33" s="102" t="s">
        <v>185</v>
      </c>
      <c r="S33" s="102" t="s">
        <v>199</v>
      </c>
      <c r="T33" s="160" t="s">
        <v>59</v>
      </c>
      <c r="U33" s="102" t="s">
        <v>47</v>
      </c>
      <c r="V33" s="102"/>
      <c r="W33" s="102"/>
      <c r="X33" s="161">
        <v>511.28</v>
      </c>
      <c r="Y33" s="161">
        <v>188.72000000000003</v>
      </c>
      <c r="Z33" s="161">
        <f t="shared" si="0"/>
        <v>700</v>
      </c>
      <c r="AA33" s="162"/>
      <c r="AB33" s="162"/>
      <c r="AC33" s="162"/>
      <c r="AD33" s="163"/>
      <c r="AE33" s="164">
        <f t="shared" si="1"/>
        <v>700</v>
      </c>
      <c r="AF33" s="162"/>
      <c r="AG33" s="165"/>
      <c r="AH33" s="165"/>
      <c r="AI33" s="162"/>
      <c r="AJ33" s="161">
        <v>0</v>
      </c>
      <c r="AK33" s="164">
        <f t="shared" si="2"/>
        <v>700</v>
      </c>
      <c r="AL33" s="165">
        <f t="shared" si="3"/>
        <v>0</v>
      </c>
      <c r="AM33" s="164">
        <f t="shared" si="4"/>
        <v>700</v>
      </c>
      <c r="AN33" s="165">
        <f t="shared" si="5"/>
        <v>70</v>
      </c>
      <c r="AO33" s="165">
        <f t="shared" si="6"/>
        <v>10.2256</v>
      </c>
      <c r="AP33" s="164">
        <f t="shared" si="7"/>
        <v>780.22559999999999</v>
      </c>
      <c r="AQ33" s="180"/>
      <c r="AR33" s="181" t="s">
        <v>241</v>
      </c>
      <c r="AS33" s="182" t="s">
        <v>90</v>
      </c>
      <c r="AT33" s="183">
        <v>438.24</v>
      </c>
      <c r="AU33" s="183">
        <v>73.040000000000006</v>
      </c>
      <c r="AV33" s="183">
        <v>511.28</v>
      </c>
      <c r="AW33" s="184">
        <v>-66.069999999999993</v>
      </c>
      <c r="AX33" s="183">
        <v>0.15</v>
      </c>
      <c r="AY33" s="183">
        <v>-65.92</v>
      </c>
      <c r="AZ33" s="183">
        <v>577.20000000000005</v>
      </c>
      <c r="BC33" s="198"/>
      <c r="BD33" s="205"/>
      <c r="BG33" s="102" t="s">
        <v>185</v>
      </c>
      <c r="BH33" s="102" t="s">
        <v>199</v>
      </c>
      <c r="BI33" s="160" t="s">
        <v>59</v>
      </c>
      <c r="BJ33" s="102" t="s">
        <v>47</v>
      </c>
      <c r="BK33" s="102"/>
      <c r="BL33" s="102"/>
      <c r="BM33" s="161">
        <v>511.28</v>
      </c>
      <c r="BN33" s="161">
        <v>188.72000000000003</v>
      </c>
      <c r="BO33" s="161">
        <f t="shared" si="8"/>
        <v>700</v>
      </c>
      <c r="BP33" s="162"/>
      <c r="BQ33" s="162"/>
      <c r="BR33" s="162"/>
      <c r="BS33" s="163"/>
      <c r="BT33" s="164">
        <f t="shared" si="9"/>
        <v>700</v>
      </c>
      <c r="BU33" s="162"/>
      <c r="BV33" s="165"/>
      <c r="BW33" s="165"/>
      <c r="BX33" s="162"/>
      <c r="BY33" s="161">
        <v>0</v>
      </c>
      <c r="BZ33" s="164">
        <f t="shared" si="10"/>
        <v>700</v>
      </c>
      <c r="CA33" s="165">
        <f t="shared" si="11"/>
        <v>0</v>
      </c>
      <c r="CB33" s="164">
        <f t="shared" si="12"/>
        <v>700</v>
      </c>
      <c r="CC33" s="165">
        <f t="shared" si="13"/>
        <v>70</v>
      </c>
      <c r="CD33" s="165">
        <f t="shared" si="14"/>
        <v>10.2256</v>
      </c>
      <c r="CE33" s="164">
        <f t="shared" si="15"/>
        <v>780.22559999999999</v>
      </c>
      <c r="CF33" s="166"/>
      <c r="CG33" s="159"/>
      <c r="CH33" s="159"/>
      <c r="CI33" s="167">
        <f t="shared" si="16"/>
        <v>-700</v>
      </c>
      <c r="CJ33" s="166" t="s">
        <v>283</v>
      </c>
      <c r="CK33" s="166"/>
      <c r="CL33" s="166"/>
      <c r="CM33" s="166"/>
      <c r="CN33" s="166" t="s">
        <v>304</v>
      </c>
      <c r="CO33" s="166"/>
      <c r="CP33" s="166"/>
    </row>
    <row r="34" spans="1:94" s="185" customFormat="1" x14ac:dyDescent="0.25">
      <c r="A34" s="176" t="s">
        <v>60</v>
      </c>
      <c r="B34" s="177" t="s">
        <v>61</v>
      </c>
      <c r="C34" s="178">
        <f t="shared" si="17"/>
        <v>511.28</v>
      </c>
      <c r="D34" s="178">
        <v>0</v>
      </c>
      <c r="E34" s="178">
        <f t="shared" si="18"/>
        <v>1710.63</v>
      </c>
      <c r="F34" s="178">
        <f t="shared" si="19"/>
        <v>0</v>
      </c>
      <c r="G34" s="178">
        <f t="shared" si="20"/>
        <v>0</v>
      </c>
      <c r="H34" s="178">
        <f t="shared" si="21"/>
        <v>0</v>
      </c>
      <c r="I34" s="178">
        <f t="shared" si="22"/>
        <v>0</v>
      </c>
      <c r="J34" s="178">
        <f t="shared" si="23"/>
        <v>2221.91</v>
      </c>
      <c r="K34" s="178">
        <f t="shared" si="24"/>
        <v>2221.91</v>
      </c>
      <c r="L34" s="178">
        <f t="shared" si="25"/>
        <v>222.191</v>
      </c>
      <c r="M34" s="178">
        <f>+'C&amp;A'!E35*0.02</f>
        <v>10.2256</v>
      </c>
      <c r="N34" s="178">
        <f t="shared" si="26"/>
        <v>2454.3265999999999</v>
      </c>
      <c r="O34" s="178">
        <f t="shared" si="27"/>
        <v>392.69225599999999</v>
      </c>
      <c r="P34" s="178">
        <f t="shared" si="28"/>
        <v>2847.0188559999997</v>
      </c>
      <c r="Q34" s="179">
        <f>+K34-'C&amp;A'!J35-SINDICATO!L35</f>
        <v>0</v>
      </c>
      <c r="R34" s="102" t="s">
        <v>185</v>
      </c>
      <c r="S34" s="102" t="s">
        <v>61</v>
      </c>
      <c r="T34" s="160" t="s">
        <v>60</v>
      </c>
      <c r="U34" s="102" t="s">
        <v>47</v>
      </c>
      <c r="V34" s="102"/>
      <c r="W34" s="102"/>
      <c r="X34" s="161">
        <v>511.28</v>
      </c>
      <c r="Y34" s="161">
        <v>0</v>
      </c>
      <c r="Z34" s="161">
        <f t="shared" si="0"/>
        <v>511.28</v>
      </c>
      <c r="AA34" s="162">
        <v>8747.7000000000007</v>
      </c>
      <c r="AB34" s="162"/>
      <c r="AC34" s="162"/>
      <c r="AD34" s="163"/>
      <c r="AE34" s="164">
        <f t="shared" si="1"/>
        <v>9258.9800000000014</v>
      </c>
      <c r="AF34" s="162"/>
      <c r="AG34" s="165"/>
      <c r="AH34" s="165"/>
      <c r="AI34" s="162"/>
      <c r="AJ34" s="161">
        <v>0</v>
      </c>
      <c r="AK34" s="164">
        <f t="shared" si="2"/>
        <v>9258.9800000000014</v>
      </c>
      <c r="AL34" s="165">
        <f t="shared" si="3"/>
        <v>925.89800000000014</v>
      </c>
      <c r="AM34" s="164">
        <f t="shared" si="4"/>
        <v>8333.0820000000022</v>
      </c>
      <c r="AN34" s="165">
        <f t="shared" si="5"/>
        <v>0</v>
      </c>
      <c r="AO34" s="165">
        <f t="shared" si="6"/>
        <v>10.2256</v>
      </c>
      <c r="AP34" s="164">
        <f t="shared" si="7"/>
        <v>9269.2056000000011</v>
      </c>
      <c r="AQ34" s="180"/>
      <c r="AR34" s="181" t="s">
        <v>242</v>
      </c>
      <c r="AS34" s="182" t="s">
        <v>91</v>
      </c>
      <c r="AT34" s="183">
        <v>438.24</v>
      </c>
      <c r="AU34" s="183">
        <v>73.040000000000006</v>
      </c>
      <c r="AV34" s="183">
        <v>511.28</v>
      </c>
      <c r="AW34" s="184">
        <v>-66.069999999999993</v>
      </c>
      <c r="AX34" s="183">
        <v>0.15</v>
      </c>
      <c r="AY34" s="183">
        <v>-65.92</v>
      </c>
      <c r="AZ34" s="183">
        <v>577.20000000000005</v>
      </c>
      <c r="BC34" s="198"/>
      <c r="BD34" s="205"/>
      <c r="BG34" s="102" t="s">
        <v>185</v>
      </c>
      <c r="BH34" s="102" t="s">
        <v>61</v>
      </c>
      <c r="BI34" s="160" t="s">
        <v>60</v>
      </c>
      <c r="BJ34" s="102" t="s">
        <v>47</v>
      </c>
      <c r="BK34" s="102"/>
      <c r="BL34" s="102"/>
      <c r="BM34" s="161">
        <v>511.28</v>
      </c>
      <c r="BN34" s="161">
        <v>0</v>
      </c>
      <c r="BO34" s="161">
        <f t="shared" si="8"/>
        <v>511.28</v>
      </c>
      <c r="BP34" s="196">
        <v>1710.63</v>
      </c>
      <c r="BQ34" s="162"/>
      <c r="BR34" s="162"/>
      <c r="BS34" s="163"/>
      <c r="BT34" s="164">
        <f t="shared" si="9"/>
        <v>2221.91</v>
      </c>
      <c r="BU34" s="162"/>
      <c r="BV34" s="165"/>
      <c r="BW34" s="165"/>
      <c r="BX34" s="162"/>
      <c r="BY34" s="161">
        <v>0</v>
      </c>
      <c r="BZ34" s="164">
        <f t="shared" si="10"/>
        <v>2221.91</v>
      </c>
      <c r="CA34" s="165">
        <f t="shared" si="11"/>
        <v>0</v>
      </c>
      <c r="CB34" s="164">
        <f t="shared" si="12"/>
        <v>2221.91</v>
      </c>
      <c r="CC34" s="165">
        <f t="shared" si="13"/>
        <v>222.191</v>
      </c>
      <c r="CD34" s="165">
        <f t="shared" si="14"/>
        <v>10.2256</v>
      </c>
      <c r="CE34" s="164">
        <f t="shared" si="15"/>
        <v>2454.3265999999999</v>
      </c>
      <c r="CF34" s="166"/>
      <c r="CG34" s="159"/>
      <c r="CH34" s="159"/>
      <c r="CI34" s="167">
        <f t="shared" si="16"/>
        <v>-2221.91</v>
      </c>
      <c r="CJ34" s="166" t="s">
        <v>284</v>
      </c>
      <c r="CK34" s="166"/>
      <c r="CL34" s="166"/>
      <c r="CM34" s="166"/>
      <c r="CN34" s="166" t="s">
        <v>304</v>
      </c>
      <c r="CO34" s="166"/>
      <c r="CP34" s="166"/>
    </row>
    <row r="35" spans="1:94" s="185" customFormat="1" hidden="1" x14ac:dyDescent="0.25">
      <c r="A35" s="176" t="s">
        <v>92</v>
      </c>
      <c r="B35" s="187" t="s">
        <v>109</v>
      </c>
      <c r="C35" s="178">
        <f t="shared" si="17"/>
        <v>511.28</v>
      </c>
      <c r="D35" s="178">
        <v>0</v>
      </c>
      <c r="E35" s="178">
        <f t="shared" si="18"/>
        <v>3316.33</v>
      </c>
      <c r="F35" s="178">
        <f t="shared" si="19"/>
        <v>0</v>
      </c>
      <c r="G35" s="178">
        <f t="shared" si="20"/>
        <v>0</v>
      </c>
      <c r="H35" s="178">
        <f t="shared" si="21"/>
        <v>0</v>
      </c>
      <c r="I35" s="178">
        <f t="shared" si="22"/>
        <v>0</v>
      </c>
      <c r="J35" s="178">
        <f t="shared" si="23"/>
        <v>3827.6099999999997</v>
      </c>
      <c r="K35" s="178">
        <f t="shared" si="24"/>
        <v>3827.6099999999997</v>
      </c>
      <c r="L35" s="178">
        <f t="shared" si="25"/>
        <v>382.76099999999997</v>
      </c>
      <c r="M35" s="178">
        <f>+'C&amp;A'!E36*0.02</f>
        <v>10.2256</v>
      </c>
      <c r="N35" s="178">
        <f t="shared" si="26"/>
        <v>4220.5965999999989</v>
      </c>
      <c r="O35" s="178">
        <f t="shared" si="27"/>
        <v>675.29545599999983</v>
      </c>
      <c r="P35" s="178">
        <f t="shared" si="28"/>
        <v>4895.8920559999988</v>
      </c>
      <c r="Q35" s="179">
        <f>+K35-'C&amp;A'!J36-SINDICATO!L36</f>
        <v>0</v>
      </c>
      <c r="R35" s="102" t="s">
        <v>180</v>
      </c>
      <c r="S35" s="102" t="s">
        <v>183</v>
      </c>
      <c r="T35" s="160" t="s">
        <v>62</v>
      </c>
      <c r="U35" s="102" t="s">
        <v>47</v>
      </c>
      <c r="V35" s="102"/>
      <c r="W35" s="102"/>
      <c r="X35" s="161">
        <v>511.28</v>
      </c>
      <c r="Y35" s="161">
        <v>0</v>
      </c>
      <c r="Z35" s="161">
        <f t="shared" si="0"/>
        <v>511.28</v>
      </c>
      <c r="AA35" s="162">
        <v>2348.11</v>
      </c>
      <c r="AB35" s="162"/>
      <c r="AC35" s="162"/>
      <c r="AD35" s="163"/>
      <c r="AE35" s="164">
        <f t="shared" si="1"/>
        <v>2859.3900000000003</v>
      </c>
      <c r="AF35" s="162"/>
      <c r="AG35" s="165"/>
      <c r="AH35" s="165"/>
      <c r="AI35" s="162"/>
      <c r="AJ35" s="161">
        <v>0</v>
      </c>
      <c r="AK35" s="164">
        <f t="shared" si="2"/>
        <v>2859.3900000000003</v>
      </c>
      <c r="AL35" s="165">
        <f t="shared" si="3"/>
        <v>0</v>
      </c>
      <c r="AM35" s="164">
        <f t="shared" si="4"/>
        <v>2859.3900000000003</v>
      </c>
      <c r="AN35" s="165">
        <f t="shared" si="5"/>
        <v>285.93900000000002</v>
      </c>
      <c r="AO35" s="165">
        <f t="shared" si="6"/>
        <v>10.2256</v>
      </c>
      <c r="AP35" s="164">
        <f t="shared" si="7"/>
        <v>3155.5546000000004</v>
      </c>
      <c r="AQ35" s="180"/>
      <c r="AR35" s="181" t="s">
        <v>243</v>
      </c>
      <c r="AS35" s="182" t="s">
        <v>93</v>
      </c>
      <c r="AT35" s="183">
        <v>438.24</v>
      </c>
      <c r="AU35" s="183">
        <v>73.040000000000006</v>
      </c>
      <c r="AV35" s="183">
        <v>511.28</v>
      </c>
      <c r="AW35" s="184">
        <v>-66.069999999999993</v>
      </c>
      <c r="AX35" s="183">
        <v>0.15</v>
      </c>
      <c r="AY35" s="183">
        <v>-65.92</v>
      </c>
      <c r="AZ35" s="183">
        <v>577.20000000000005</v>
      </c>
      <c r="BC35" s="198"/>
      <c r="BD35" s="205"/>
      <c r="BG35" s="102" t="s">
        <v>180</v>
      </c>
      <c r="BH35" s="102" t="s">
        <v>183</v>
      </c>
      <c r="BI35" s="160" t="s">
        <v>62</v>
      </c>
      <c r="BJ35" s="102" t="s">
        <v>47</v>
      </c>
      <c r="BK35" s="102"/>
      <c r="BL35" s="102"/>
      <c r="BM35" s="161">
        <v>511.28</v>
      </c>
      <c r="BN35" s="161">
        <v>0</v>
      </c>
      <c r="BO35" s="161">
        <f t="shared" si="8"/>
        <v>511.28</v>
      </c>
      <c r="BP35" s="188">
        <f>1316.33+2000</f>
        <v>3316.33</v>
      </c>
      <c r="BQ35" s="162"/>
      <c r="BR35" s="162"/>
      <c r="BS35" s="163"/>
      <c r="BT35" s="164">
        <f t="shared" si="9"/>
        <v>3827.6099999999997</v>
      </c>
      <c r="BU35" s="162"/>
      <c r="BV35" s="165"/>
      <c r="BW35" s="165"/>
      <c r="BX35" s="162"/>
      <c r="BY35" s="161">
        <v>0</v>
      </c>
      <c r="BZ35" s="164">
        <f t="shared" si="10"/>
        <v>3827.6099999999997</v>
      </c>
      <c r="CA35" s="165">
        <f t="shared" si="11"/>
        <v>0</v>
      </c>
      <c r="CB35" s="164">
        <f t="shared" si="12"/>
        <v>3827.6099999999997</v>
      </c>
      <c r="CC35" s="165">
        <f t="shared" si="13"/>
        <v>382.76099999999997</v>
      </c>
      <c r="CD35" s="165">
        <f t="shared" si="14"/>
        <v>10.2256</v>
      </c>
      <c r="CE35" s="164">
        <f t="shared" si="15"/>
        <v>4220.5965999999989</v>
      </c>
      <c r="CF35" s="166"/>
      <c r="CG35" s="159"/>
      <c r="CH35" s="159"/>
      <c r="CI35" s="167">
        <f t="shared" si="16"/>
        <v>-3827.6099999999997</v>
      </c>
      <c r="CJ35" s="166" t="s">
        <v>285</v>
      </c>
      <c r="CK35" s="166"/>
      <c r="CL35" s="166"/>
      <c r="CM35" s="166"/>
      <c r="CN35" s="166" t="s">
        <v>303</v>
      </c>
      <c r="CO35" s="166"/>
      <c r="CP35" s="166"/>
    </row>
    <row r="36" spans="1:94" s="185" customFormat="1" hidden="1" x14ac:dyDescent="0.25">
      <c r="A36" s="176" t="s">
        <v>39</v>
      </c>
      <c r="B36" s="187" t="s">
        <v>101</v>
      </c>
      <c r="C36" s="178">
        <f t="shared" si="17"/>
        <v>511.28</v>
      </c>
      <c r="D36" s="178">
        <f>-'C&amp;A'!F37</f>
        <v>66.069999999999993</v>
      </c>
      <c r="E36" s="178">
        <f t="shared" si="18"/>
        <v>0</v>
      </c>
      <c r="F36" s="178">
        <f t="shared" si="19"/>
        <v>0</v>
      </c>
      <c r="G36" s="178">
        <f t="shared" si="20"/>
        <v>0</v>
      </c>
      <c r="H36" s="178">
        <f t="shared" si="21"/>
        <v>134.6</v>
      </c>
      <c r="I36" s="178">
        <f t="shared" si="22"/>
        <v>0</v>
      </c>
      <c r="J36" s="178">
        <f t="shared" si="23"/>
        <v>442.74999999999989</v>
      </c>
      <c r="K36" s="178">
        <f t="shared" si="24"/>
        <v>577.34999999999991</v>
      </c>
      <c r="L36" s="178">
        <f t="shared" si="25"/>
        <v>51.128</v>
      </c>
      <c r="M36" s="178">
        <f>+'C&amp;A'!E37*0.02</f>
        <v>10.2256</v>
      </c>
      <c r="N36" s="178">
        <f t="shared" si="26"/>
        <v>638.70359999999994</v>
      </c>
      <c r="O36" s="178">
        <f t="shared" si="27"/>
        <v>102.19257599999999</v>
      </c>
      <c r="P36" s="178">
        <f t="shared" si="28"/>
        <v>740.89617599999997</v>
      </c>
      <c r="Q36" s="179">
        <f>+K36-'C&amp;A'!J37-SINDICATO!L37</f>
        <v>134.49999999999989</v>
      </c>
      <c r="R36" s="102" t="s">
        <v>180</v>
      </c>
      <c r="S36" s="102" t="s">
        <v>184</v>
      </c>
      <c r="T36" s="160" t="s">
        <v>39</v>
      </c>
      <c r="U36" s="102" t="s">
        <v>47</v>
      </c>
      <c r="V36" s="102"/>
      <c r="W36" s="102"/>
      <c r="X36" s="161">
        <v>511.28</v>
      </c>
      <c r="Y36" s="161">
        <v>0</v>
      </c>
      <c r="Z36" s="161">
        <f t="shared" si="0"/>
        <v>511.28</v>
      </c>
      <c r="AA36" s="162">
        <v>1598.19</v>
      </c>
      <c r="AB36" s="162"/>
      <c r="AC36" s="162"/>
      <c r="AD36" s="163"/>
      <c r="AE36" s="164">
        <f t="shared" si="1"/>
        <v>2109.4700000000003</v>
      </c>
      <c r="AF36" s="162"/>
      <c r="AG36" s="165"/>
      <c r="AH36" s="165"/>
      <c r="AI36" s="162"/>
      <c r="AJ36" s="161">
        <v>134.6</v>
      </c>
      <c r="AK36" s="164">
        <f t="shared" si="2"/>
        <v>1974.8700000000003</v>
      </c>
      <c r="AL36" s="165">
        <f t="shared" si="3"/>
        <v>0</v>
      </c>
      <c r="AM36" s="164">
        <f t="shared" si="4"/>
        <v>1974.8700000000003</v>
      </c>
      <c r="AN36" s="165">
        <f t="shared" si="5"/>
        <v>210.94700000000003</v>
      </c>
      <c r="AO36" s="165">
        <f t="shared" si="6"/>
        <v>10.2256</v>
      </c>
      <c r="AP36" s="164">
        <f t="shared" si="7"/>
        <v>2330.6426000000006</v>
      </c>
      <c r="AQ36" s="180"/>
      <c r="AR36" s="181" t="s">
        <v>244</v>
      </c>
      <c r="AS36" s="182" t="s">
        <v>95</v>
      </c>
      <c r="AT36" s="183">
        <v>438.24</v>
      </c>
      <c r="AU36" s="183">
        <v>73.040000000000006</v>
      </c>
      <c r="AV36" s="183">
        <v>511.28</v>
      </c>
      <c r="AW36" s="184">
        <v>-66.069999999999993</v>
      </c>
      <c r="AX36" s="184">
        <v>-0.05</v>
      </c>
      <c r="AY36" s="183">
        <v>-66.12</v>
      </c>
      <c r="AZ36" s="183">
        <v>577.4</v>
      </c>
      <c r="BC36" s="198"/>
      <c r="BD36" s="205"/>
      <c r="BG36" s="102" t="s">
        <v>180</v>
      </c>
      <c r="BH36" s="102" t="s">
        <v>184</v>
      </c>
      <c r="BI36" s="160" t="s">
        <v>39</v>
      </c>
      <c r="BJ36" s="102" t="s">
        <v>47</v>
      </c>
      <c r="BK36" s="102"/>
      <c r="BL36" s="102"/>
      <c r="BM36" s="161">
        <v>511.28</v>
      </c>
      <c r="BN36" s="161">
        <v>0</v>
      </c>
      <c r="BO36" s="161">
        <f t="shared" si="8"/>
        <v>511.28</v>
      </c>
      <c r="BP36" s="162"/>
      <c r="BQ36" s="162"/>
      <c r="BR36" s="162"/>
      <c r="BS36" s="163"/>
      <c r="BT36" s="164">
        <f t="shared" si="9"/>
        <v>511.28</v>
      </c>
      <c r="BU36" s="162"/>
      <c r="BV36" s="165"/>
      <c r="BW36" s="165"/>
      <c r="BX36" s="162"/>
      <c r="BY36" s="161">
        <v>134.6</v>
      </c>
      <c r="BZ36" s="164">
        <f t="shared" si="10"/>
        <v>376.67999999999995</v>
      </c>
      <c r="CA36" s="165">
        <f t="shared" si="11"/>
        <v>0</v>
      </c>
      <c r="CB36" s="164">
        <f t="shared" si="12"/>
        <v>376.67999999999995</v>
      </c>
      <c r="CC36" s="165">
        <f t="shared" si="13"/>
        <v>51.128</v>
      </c>
      <c r="CD36" s="165">
        <f t="shared" si="14"/>
        <v>10.2256</v>
      </c>
      <c r="CE36" s="164">
        <f t="shared" si="15"/>
        <v>572.6336</v>
      </c>
      <c r="CF36" s="166"/>
      <c r="CG36" s="159"/>
      <c r="CH36" s="159"/>
      <c r="CI36" s="167">
        <f t="shared" si="16"/>
        <v>-376.67999999999995</v>
      </c>
      <c r="CJ36" s="166" t="s">
        <v>286</v>
      </c>
      <c r="CK36" s="166"/>
      <c r="CL36" s="166"/>
      <c r="CM36" s="166"/>
      <c r="CN36" s="166" t="s">
        <v>303</v>
      </c>
      <c r="CO36" s="166"/>
      <c r="CP36" s="166"/>
    </row>
    <row r="37" spans="1:94" s="185" customFormat="1" x14ac:dyDescent="0.25">
      <c r="A37" s="176" t="s">
        <v>63</v>
      </c>
      <c r="B37" s="187" t="s">
        <v>107</v>
      </c>
      <c r="C37" s="178">
        <f t="shared" si="17"/>
        <v>8193.94</v>
      </c>
      <c r="D37" s="178">
        <v>0</v>
      </c>
      <c r="E37" s="178">
        <f t="shared" si="18"/>
        <v>0</v>
      </c>
      <c r="F37" s="178">
        <f t="shared" si="19"/>
        <v>0</v>
      </c>
      <c r="G37" s="178">
        <f t="shared" si="20"/>
        <v>0</v>
      </c>
      <c r="H37" s="178">
        <f>+BY37</f>
        <v>1148.7</v>
      </c>
      <c r="I37" s="178">
        <f t="shared" si="22"/>
        <v>819.39400000000012</v>
      </c>
      <c r="J37" s="178">
        <f>+C37+D37+E37-F37-G37-H37-I37</f>
        <v>6225.8460000000005</v>
      </c>
      <c r="K37" s="178">
        <f t="shared" si="24"/>
        <v>8193.94</v>
      </c>
      <c r="L37" s="178">
        <f t="shared" si="25"/>
        <v>0</v>
      </c>
      <c r="M37" s="178">
        <f>+'C&amp;A'!E38*0.02</f>
        <v>0</v>
      </c>
      <c r="N37" s="178">
        <f t="shared" si="26"/>
        <v>8193.94</v>
      </c>
      <c r="O37" s="178">
        <f t="shared" si="27"/>
        <v>1311.0304000000001</v>
      </c>
      <c r="P37" s="178">
        <f t="shared" si="28"/>
        <v>9504.9704000000002</v>
      </c>
      <c r="Q37" s="179">
        <v>0</v>
      </c>
      <c r="R37" s="102" t="s">
        <v>185</v>
      </c>
      <c r="S37" s="102" t="s">
        <v>200</v>
      </c>
      <c r="T37" s="160" t="s">
        <v>63</v>
      </c>
      <c r="U37" s="102" t="s">
        <v>47</v>
      </c>
      <c r="V37" s="102"/>
      <c r="W37" s="102"/>
      <c r="X37" s="161">
        <v>511.28</v>
      </c>
      <c r="Y37" s="161">
        <v>0</v>
      </c>
      <c r="Z37" s="161">
        <f t="shared" si="0"/>
        <v>511.28</v>
      </c>
      <c r="AA37" s="162"/>
      <c r="AB37" s="162"/>
      <c r="AC37" s="162"/>
      <c r="AD37" s="163"/>
      <c r="AE37" s="164">
        <f t="shared" si="1"/>
        <v>511.28</v>
      </c>
      <c r="AF37" s="162"/>
      <c r="AG37" s="165"/>
      <c r="AH37" s="165"/>
      <c r="AI37" s="162"/>
      <c r="AJ37" s="161">
        <v>0</v>
      </c>
      <c r="AK37" s="164">
        <f t="shared" si="2"/>
        <v>511.28</v>
      </c>
      <c r="AL37" s="165">
        <f t="shared" si="3"/>
        <v>0</v>
      </c>
      <c r="AM37" s="164">
        <f t="shared" si="4"/>
        <v>511.28</v>
      </c>
      <c r="AN37" s="165">
        <f t="shared" si="5"/>
        <v>51.128</v>
      </c>
      <c r="AO37" s="165">
        <f t="shared" si="6"/>
        <v>10.2256</v>
      </c>
      <c r="AP37" s="164">
        <f t="shared" si="7"/>
        <v>572.6336</v>
      </c>
      <c r="AQ37" s="180"/>
      <c r="AR37" s="181" t="s">
        <v>245</v>
      </c>
      <c r="AS37" s="182" t="s">
        <v>96</v>
      </c>
      <c r="AT37" s="183">
        <v>438.24</v>
      </c>
      <c r="AU37" s="183">
        <v>73.040000000000006</v>
      </c>
      <c r="AV37" s="183">
        <v>511.28</v>
      </c>
      <c r="AW37" s="184">
        <v>-66.069999999999993</v>
      </c>
      <c r="AX37" s="184">
        <v>-0.05</v>
      </c>
      <c r="AY37" s="183">
        <v>-66.12</v>
      </c>
      <c r="AZ37" s="183">
        <v>577.4</v>
      </c>
      <c r="BC37" s="198"/>
      <c r="BD37" s="205"/>
      <c r="BG37" s="102" t="s">
        <v>185</v>
      </c>
      <c r="BH37" s="102" t="s">
        <v>200</v>
      </c>
      <c r="BI37" s="160" t="s">
        <v>63</v>
      </c>
      <c r="BJ37" s="102" t="s">
        <v>47</v>
      </c>
      <c r="BK37" s="102"/>
      <c r="BL37" s="102"/>
      <c r="BM37" s="161">
        <v>0</v>
      </c>
      <c r="BN37" s="161">
        <v>8193.94</v>
      </c>
      <c r="BO37" s="161">
        <f t="shared" si="8"/>
        <v>8193.94</v>
      </c>
      <c r="BP37" s="188"/>
      <c r="BQ37" s="162"/>
      <c r="BR37" s="162"/>
      <c r="BS37" s="163"/>
      <c r="BT37" s="164">
        <f t="shared" si="9"/>
        <v>8193.94</v>
      </c>
      <c r="BU37" s="162"/>
      <c r="BV37" s="165"/>
      <c r="BW37" s="165"/>
      <c r="BX37" s="162"/>
      <c r="BY37" s="161">
        <v>1148.7</v>
      </c>
      <c r="BZ37" s="164">
        <f t="shared" si="10"/>
        <v>7045.2400000000007</v>
      </c>
      <c r="CA37" s="165">
        <f t="shared" si="11"/>
        <v>819.39400000000012</v>
      </c>
      <c r="CB37" s="164">
        <f t="shared" si="12"/>
        <v>6225.8460000000005</v>
      </c>
      <c r="CC37" s="165">
        <f t="shared" si="13"/>
        <v>0</v>
      </c>
      <c r="CD37" s="165">
        <f t="shared" si="14"/>
        <v>0</v>
      </c>
      <c r="CE37" s="164">
        <f t="shared" si="15"/>
        <v>8193.94</v>
      </c>
      <c r="CF37" s="166" t="s">
        <v>287</v>
      </c>
      <c r="CG37" s="159"/>
      <c r="CH37" s="159"/>
      <c r="CI37" s="167">
        <f t="shared" si="16"/>
        <v>-6225.8460000000005</v>
      </c>
      <c r="CJ37" s="166" t="s">
        <v>288</v>
      </c>
      <c r="CK37" s="166"/>
      <c r="CL37" s="166"/>
      <c r="CM37" s="166"/>
      <c r="CN37" s="166" t="s">
        <v>304</v>
      </c>
      <c r="CO37" s="166"/>
      <c r="CP37" s="166"/>
    </row>
    <row r="38" spans="1:94" s="185" customFormat="1" x14ac:dyDescent="0.25">
      <c r="A38" s="190" t="s">
        <v>246</v>
      </c>
      <c r="B38" s="191" t="s">
        <v>215</v>
      </c>
      <c r="C38" s="178">
        <f t="shared" si="17"/>
        <v>700</v>
      </c>
      <c r="D38" s="178">
        <v>0</v>
      </c>
      <c r="E38" s="178">
        <f t="shared" si="18"/>
        <v>0</v>
      </c>
      <c r="F38" s="178">
        <f t="shared" si="19"/>
        <v>0</v>
      </c>
      <c r="G38" s="178">
        <f t="shared" si="20"/>
        <v>0</v>
      </c>
      <c r="H38" s="178">
        <f t="shared" si="21"/>
        <v>0</v>
      </c>
      <c r="I38" s="178">
        <f t="shared" si="22"/>
        <v>0</v>
      </c>
      <c r="J38" s="178">
        <f t="shared" si="23"/>
        <v>700</v>
      </c>
      <c r="K38" s="178">
        <f t="shared" si="24"/>
        <v>700</v>
      </c>
      <c r="L38" s="178">
        <f t="shared" si="25"/>
        <v>70</v>
      </c>
      <c r="M38" s="178">
        <f>+'C&amp;A'!E39*0.02</f>
        <v>10.2256</v>
      </c>
      <c r="N38" s="178">
        <f t="shared" si="26"/>
        <v>780.22559999999999</v>
      </c>
      <c r="O38" s="178">
        <f t="shared" si="27"/>
        <v>124.836096</v>
      </c>
      <c r="P38" s="178">
        <f t="shared" si="28"/>
        <v>905.06169599999998</v>
      </c>
      <c r="Q38" s="179">
        <f>+K38-'C&amp;A'!J39-SINDICATO!L39</f>
        <v>0</v>
      </c>
      <c r="R38" s="102" t="s">
        <v>185</v>
      </c>
      <c r="S38" s="102" t="s">
        <v>215</v>
      </c>
      <c r="T38" s="160"/>
      <c r="U38" s="102" t="s">
        <v>47</v>
      </c>
      <c r="V38" s="102"/>
      <c r="W38" s="102"/>
      <c r="X38" s="161">
        <v>700</v>
      </c>
      <c r="Y38" s="161">
        <v>0</v>
      </c>
      <c r="Z38" s="161">
        <f t="shared" si="0"/>
        <v>700</v>
      </c>
      <c r="AA38" s="162"/>
      <c r="AB38" s="162"/>
      <c r="AC38" s="162"/>
      <c r="AD38" s="163"/>
      <c r="AE38" s="164">
        <f t="shared" si="1"/>
        <v>700</v>
      </c>
      <c r="AF38" s="162"/>
      <c r="AG38" s="165"/>
      <c r="AH38" s="165"/>
      <c r="AI38" s="162"/>
      <c r="AJ38" s="161"/>
      <c r="AK38" s="164">
        <f t="shared" si="2"/>
        <v>700</v>
      </c>
      <c r="AL38" s="165">
        <f t="shared" si="3"/>
        <v>0</v>
      </c>
      <c r="AM38" s="164">
        <f t="shared" si="4"/>
        <v>700</v>
      </c>
      <c r="AN38" s="165">
        <f t="shared" si="5"/>
        <v>70</v>
      </c>
      <c r="AO38" s="165">
        <f t="shared" si="6"/>
        <v>14</v>
      </c>
      <c r="AP38" s="164">
        <f t="shared" si="7"/>
        <v>784</v>
      </c>
      <c r="AQ38" s="180"/>
      <c r="AR38" s="181" t="s">
        <v>246</v>
      </c>
      <c r="AS38" s="182" t="s">
        <v>218</v>
      </c>
      <c r="AT38" s="183">
        <v>438.24</v>
      </c>
      <c r="AU38" s="183">
        <v>73.040000000000006</v>
      </c>
      <c r="AV38" s="183">
        <v>511.28</v>
      </c>
      <c r="AW38" s="184">
        <v>-66.069999999999993</v>
      </c>
      <c r="AX38" s="184">
        <v>-0.05</v>
      </c>
      <c r="AY38" s="183">
        <v>-66.12</v>
      </c>
      <c r="AZ38" s="183">
        <v>577.4</v>
      </c>
      <c r="BC38" s="198"/>
      <c r="BD38" s="205"/>
      <c r="BG38" s="102" t="s">
        <v>185</v>
      </c>
      <c r="BH38" s="102" t="s">
        <v>202</v>
      </c>
      <c r="BI38" s="160"/>
      <c r="BJ38" s="102" t="s">
        <v>47</v>
      </c>
      <c r="BK38" s="102"/>
      <c r="BL38" s="102"/>
      <c r="BM38" s="161">
        <v>511.28</v>
      </c>
      <c r="BN38" s="161">
        <v>188.72000000000003</v>
      </c>
      <c r="BO38" s="161">
        <f t="shared" si="8"/>
        <v>700</v>
      </c>
      <c r="BP38" s="162"/>
      <c r="BQ38" s="162"/>
      <c r="BR38" s="162"/>
      <c r="BS38" s="163"/>
      <c r="BT38" s="164">
        <f t="shared" si="9"/>
        <v>700</v>
      </c>
      <c r="BU38" s="162"/>
      <c r="BV38" s="165"/>
      <c r="BW38" s="165"/>
      <c r="BX38" s="162"/>
      <c r="BY38" s="161"/>
      <c r="BZ38" s="164">
        <f t="shared" si="10"/>
        <v>700</v>
      </c>
      <c r="CA38" s="165">
        <f t="shared" si="11"/>
        <v>0</v>
      </c>
      <c r="CB38" s="164">
        <f t="shared" si="12"/>
        <v>700</v>
      </c>
      <c r="CC38" s="165">
        <f t="shared" si="13"/>
        <v>70</v>
      </c>
      <c r="CD38" s="165">
        <f t="shared" si="14"/>
        <v>10.2256</v>
      </c>
      <c r="CE38" s="164">
        <f t="shared" si="15"/>
        <v>780.22559999999999</v>
      </c>
      <c r="CF38" s="166"/>
      <c r="CG38" s="159"/>
      <c r="CH38" s="159"/>
      <c r="CI38" s="167">
        <f t="shared" si="16"/>
        <v>-700</v>
      </c>
      <c r="CJ38" s="168">
        <v>2973111075</v>
      </c>
      <c r="CK38" s="166"/>
      <c r="CL38" s="166"/>
      <c r="CM38" s="166"/>
      <c r="CN38" s="166" t="s">
        <v>304</v>
      </c>
      <c r="CO38" s="166"/>
      <c r="CP38" s="166"/>
    </row>
    <row r="39" spans="1:94" s="185" customFormat="1" x14ac:dyDescent="0.25">
      <c r="A39" s="176" t="s">
        <v>64</v>
      </c>
      <c r="B39" s="187" t="s">
        <v>110</v>
      </c>
      <c r="C39" s="178">
        <f t="shared" si="17"/>
        <v>577.34999999999991</v>
      </c>
      <c r="D39" s="178">
        <f>-'C&amp;A'!F40</f>
        <v>66.069999999999993</v>
      </c>
      <c r="E39" s="178">
        <f t="shared" si="18"/>
        <v>0</v>
      </c>
      <c r="F39" s="178">
        <f t="shared" si="19"/>
        <v>0</v>
      </c>
      <c r="G39" s="178">
        <f t="shared" si="20"/>
        <v>0</v>
      </c>
      <c r="H39" s="178">
        <f t="shared" si="21"/>
        <v>0</v>
      </c>
      <c r="I39" s="178">
        <f t="shared" si="22"/>
        <v>0</v>
      </c>
      <c r="J39" s="178">
        <f t="shared" si="23"/>
        <v>643.41999999999985</v>
      </c>
      <c r="K39" s="178">
        <f t="shared" si="24"/>
        <v>643.41999999999985</v>
      </c>
      <c r="L39" s="178">
        <f t="shared" si="25"/>
        <v>57.734999999999992</v>
      </c>
      <c r="M39" s="178">
        <f>+'C&amp;A'!E40*0.02</f>
        <v>10.2256</v>
      </c>
      <c r="N39" s="178">
        <f t="shared" si="26"/>
        <v>711.38059999999984</v>
      </c>
      <c r="O39" s="178">
        <f t="shared" si="27"/>
        <v>113.82089599999998</v>
      </c>
      <c r="P39" s="178">
        <f t="shared" si="28"/>
        <v>825.20149599999979</v>
      </c>
      <c r="Q39" s="179">
        <v>0</v>
      </c>
      <c r="R39" s="102" t="s">
        <v>185</v>
      </c>
      <c r="S39" s="102" t="s">
        <v>201</v>
      </c>
      <c r="T39" s="160" t="s">
        <v>64</v>
      </c>
      <c r="U39" s="102" t="s">
        <v>47</v>
      </c>
      <c r="V39" s="102"/>
      <c r="W39" s="102"/>
      <c r="X39" s="161">
        <v>511.28</v>
      </c>
      <c r="Y39" s="161">
        <v>0</v>
      </c>
      <c r="Z39" s="161">
        <f t="shared" si="0"/>
        <v>511.28</v>
      </c>
      <c r="AA39" s="162"/>
      <c r="AB39" s="162"/>
      <c r="AC39" s="162"/>
      <c r="AD39" s="163"/>
      <c r="AE39" s="164">
        <f t="shared" si="1"/>
        <v>511.28</v>
      </c>
      <c r="AF39" s="162"/>
      <c r="AG39" s="165"/>
      <c r="AH39" s="165"/>
      <c r="AI39" s="162"/>
      <c r="AJ39" s="161">
        <v>0</v>
      </c>
      <c r="AK39" s="164">
        <f t="shared" si="2"/>
        <v>511.28</v>
      </c>
      <c r="AL39" s="165">
        <f t="shared" si="3"/>
        <v>0</v>
      </c>
      <c r="AM39" s="164">
        <f t="shared" si="4"/>
        <v>511.28</v>
      </c>
      <c r="AN39" s="165">
        <f t="shared" si="5"/>
        <v>51.128</v>
      </c>
      <c r="AO39" s="165">
        <f t="shared" si="6"/>
        <v>10.2256</v>
      </c>
      <c r="AP39" s="164">
        <f t="shared" si="7"/>
        <v>572.6336</v>
      </c>
      <c r="AQ39" s="180"/>
      <c r="AR39" s="181" t="s">
        <v>247</v>
      </c>
      <c r="AS39" s="182" t="s">
        <v>97</v>
      </c>
      <c r="AT39" s="183">
        <v>438.24</v>
      </c>
      <c r="AU39" s="183">
        <v>73.040000000000006</v>
      </c>
      <c r="AV39" s="183">
        <v>511.28</v>
      </c>
      <c r="AW39" s="184">
        <v>-66.069999999999993</v>
      </c>
      <c r="AX39" s="184">
        <v>-0.05</v>
      </c>
      <c r="AY39" s="183">
        <v>-66.12</v>
      </c>
      <c r="AZ39" s="183">
        <v>577.4</v>
      </c>
      <c r="BC39" s="198"/>
      <c r="BD39" s="205"/>
      <c r="BG39" s="102" t="s">
        <v>185</v>
      </c>
      <c r="BH39" s="102" t="s">
        <v>201</v>
      </c>
      <c r="BI39" s="160" t="s">
        <v>64</v>
      </c>
      <c r="BJ39" s="102" t="s">
        <v>47</v>
      </c>
      <c r="BK39" s="102"/>
      <c r="BL39" s="102"/>
      <c r="BM39" s="161">
        <f>511.28+66.07</f>
        <v>577.34999999999991</v>
      </c>
      <c r="BN39" s="161">
        <v>0</v>
      </c>
      <c r="BO39" s="161">
        <f t="shared" si="8"/>
        <v>577.34999999999991</v>
      </c>
      <c r="BP39" s="162"/>
      <c r="BQ39" s="162"/>
      <c r="BR39" s="162"/>
      <c r="BS39" s="163"/>
      <c r="BT39" s="164">
        <f t="shared" si="9"/>
        <v>577.34999999999991</v>
      </c>
      <c r="BU39" s="162"/>
      <c r="BV39" s="165"/>
      <c r="BW39" s="165"/>
      <c r="BX39" s="162"/>
      <c r="BY39" s="161">
        <v>0</v>
      </c>
      <c r="BZ39" s="164">
        <f t="shared" si="10"/>
        <v>577.34999999999991</v>
      </c>
      <c r="CA39" s="165">
        <f t="shared" si="11"/>
        <v>0</v>
      </c>
      <c r="CB39" s="164">
        <f t="shared" si="12"/>
        <v>577.34999999999991</v>
      </c>
      <c r="CC39" s="165">
        <f t="shared" si="13"/>
        <v>57.734999999999992</v>
      </c>
      <c r="CD39" s="165">
        <f t="shared" si="14"/>
        <v>11.546999999999999</v>
      </c>
      <c r="CE39" s="164">
        <f t="shared" si="15"/>
        <v>646.63199999999995</v>
      </c>
      <c r="CF39" s="166"/>
      <c r="CG39" s="159"/>
      <c r="CH39" s="159"/>
      <c r="CI39" s="167">
        <f t="shared" si="16"/>
        <v>-577.34999999999991</v>
      </c>
      <c r="CJ39" s="166" t="s">
        <v>289</v>
      </c>
      <c r="CK39" s="166"/>
      <c r="CL39" s="166"/>
      <c r="CM39" s="166"/>
      <c r="CN39" s="166" t="s">
        <v>304</v>
      </c>
      <c r="CO39" s="166"/>
      <c r="CP39" s="166"/>
    </row>
    <row r="40" spans="1:94" s="21" customFormat="1" hidden="1" x14ac:dyDescent="0.25">
      <c r="A40" s="20"/>
      <c r="B40" s="20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142"/>
      <c r="R40" s="104"/>
      <c r="S40" s="104"/>
      <c r="T40" s="133"/>
      <c r="U40" s="104"/>
      <c r="V40" s="104"/>
      <c r="W40" s="104"/>
      <c r="X40" s="134"/>
      <c r="Y40" s="134"/>
      <c r="Z40" s="134"/>
      <c r="AA40" s="135"/>
      <c r="AB40" s="135"/>
      <c r="AC40" s="135"/>
      <c r="AD40" s="136"/>
      <c r="AE40" s="108">
        <f t="shared" ref="AE40:AP40" si="29">SUM(AE9:AE39)</f>
        <v>77772.98</v>
      </c>
      <c r="AF40" s="108">
        <f t="shared" si="29"/>
        <v>0</v>
      </c>
      <c r="AG40" s="108">
        <f t="shared" si="29"/>
        <v>0</v>
      </c>
      <c r="AH40" s="108">
        <f t="shared" si="29"/>
        <v>0</v>
      </c>
      <c r="AI40" s="108">
        <f t="shared" si="29"/>
        <v>524.16999999999996</v>
      </c>
      <c r="AJ40" s="108">
        <f t="shared" si="29"/>
        <v>2623.6100000000006</v>
      </c>
      <c r="AK40" s="108">
        <f t="shared" si="29"/>
        <v>74625.2</v>
      </c>
      <c r="AL40" s="108">
        <f t="shared" si="29"/>
        <v>2715.11</v>
      </c>
      <c r="AM40" s="108">
        <f t="shared" si="29"/>
        <v>71910.09</v>
      </c>
      <c r="AN40" s="108">
        <f t="shared" si="29"/>
        <v>5062.1880000000001</v>
      </c>
      <c r="AO40" s="108">
        <f t="shared" si="29"/>
        <v>297.63999999999982</v>
      </c>
      <c r="AP40" s="108">
        <f t="shared" si="29"/>
        <v>83132.808000000034</v>
      </c>
      <c r="AQ40" s="99"/>
      <c r="AR40" s="52"/>
      <c r="AS40" s="53"/>
      <c r="AT40" s="53" t="s">
        <v>15</v>
      </c>
      <c r="AU40" s="53" t="s">
        <v>15</v>
      </c>
      <c r="AV40" s="53" t="s">
        <v>15</v>
      </c>
      <c r="AW40" s="53" t="s">
        <v>15</v>
      </c>
      <c r="AX40" s="53" t="s">
        <v>15</v>
      </c>
      <c r="AY40" s="53" t="s">
        <v>15</v>
      </c>
      <c r="AZ40" s="53" t="s">
        <v>15</v>
      </c>
      <c r="BG40" s="86"/>
      <c r="BH40" s="86"/>
      <c r="BI40" s="87"/>
      <c r="BJ40" s="86"/>
      <c r="BK40" s="88"/>
      <c r="BL40" s="88"/>
      <c r="BM40" s="89"/>
      <c r="BN40" s="90"/>
      <c r="BO40" s="89"/>
      <c r="BP40" s="91"/>
      <c r="BQ40" s="92"/>
      <c r="BR40" s="92"/>
      <c r="BS40" s="93"/>
      <c r="BT40" s="94"/>
      <c r="BU40" s="95"/>
      <c r="BV40" s="96"/>
      <c r="BW40" s="96"/>
      <c r="BX40" s="91"/>
      <c r="BY40" s="89"/>
      <c r="BZ40" s="94"/>
      <c r="CA40" s="97"/>
      <c r="CB40" s="94"/>
      <c r="CC40" s="98"/>
      <c r="CD40" s="97"/>
      <c r="CE40" s="94"/>
      <c r="CF40" s="99"/>
      <c r="CG40" s="23"/>
      <c r="CH40" s="23"/>
      <c r="CI40" s="155">
        <f>+CF40-CG40-CH40</f>
        <v>0</v>
      </c>
      <c r="CJ40" s="99"/>
      <c r="CK40" s="99"/>
      <c r="CL40" s="99"/>
      <c r="CM40" s="99"/>
      <c r="CN40" s="99"/>
      <c r="CO40" s="99"/>
      <c r="CP40" s="99"/>
    </row>
    <row r="41" spans="1:94" s="21" customFormat="1" ht="16.5" hidden="1" thickBot="1" x14ac:dyDescent="0.3">
      <c r="A41" s="25" t="s">
        <v>16</v>
      </c>
      <c r="B41" s="20"/>
      <c r="C41" s="26">
        <f t="shared" ref="C41:H41" si="30">SUM(C9:C39)</f>
        <v>32584.35</v>
      </c>
      <c r="D41" s="26">
        <f t="shared" si="30"/>
        <v>396.41999999999996</v>
      </c>
      <c r="E41" s="26">
        <f t="shared" si="30"/>
        <v>213828.14000000004</v>
      </c>
      <c r="F41" s="26">
        <f t="shared" si="30"/>
        <v>0</v>
      </c>
      <c r="G41" s="26">
        <f t="shared" si="30"/>
        <v>524.16999999999996</v>
      </c>
      <c r="H41" s="26">
        <f t="shared" si="30"/>
        <v>2716.0099999999998</v>
      </c>
      <c r="I41" s="26">
        <f t="shared" ref="I41:J41" si="31">SUM(I9:I39)</f>
        <v>21806.315000000002</v>
      </c>
      <c r="J41" s="26">
        <f t="shared" si="31"/>
        <v>221762.41499999998</v>
      </c>
      <c r="K41" s="26">
        <f t="shared" ref="K41:Q41" si="32">SUM(K9:K39)</f>
        <v>246284.74000000002</v>
      </c>
      <c r="L41" s="26">
        <f t="shared" si="32"/>
        <v>2834.9340000000002</v>
      </c>
      <c r="M41" s="26">
        <f t="shared" si="32"/>
        <v>306.10159999999979</v>
      </c>
      <c r="N41" s="26">
        <f t="shared" si="32"/>
        <v>249425.77560000002</v>
      </c>
      <c r="O41" s="26">
        <f t="shared" si="32"/>
        <v>39908.124096</v>
      </c>
      <c r="P41" s="26">
        <f t="shared" si="32"/>
        <v>289333.89969599998</v>
      </c>
      <c r="Q41" s="143">
        <f t="shared" si="32"/>
        <v>22553.931000000008</v>
      </c>
      <c r="R41" s="105"/>
      <c r="S41" s="104"/>
      <c r="T41" s="104"/>
      <c r="U41" s="104"/>
      <c r="V41" s="104"/>
      <c r="W41" s="104"/>
      <c r="X41" s="104"/>
      <c r="Y41" s="104"/>
      <c r="Z41" s="135"/>
      <c r="AA41" s="135"/>
      <c r="AB41" s="135"/>
      <c r="AC41" s="135"/>
      <c r="AD41" s="136"/>
      <c r="AE41" s="108">
        <f>SUM(Z41:AC41)-AD41</f>
        <v>0</v>
      </c>
      <c r="AF41" s="135"/>
      <c r="AG41" s="97"/>
      <c r="AH41" s="97"/>
      <c r="AI41" s="135"/>
      <c r="AJ41" s="134"/>
      <c r="AK41" s="108"/>
      <c r="AL41" s="97"/>
      <c r="AM41" s="108"/>
      <c r="AN41" s="97"/>
      <c r="AO41" s="97"/>
      <c r="AP41" s="108"/>
      <c r="AQ41" s="99"/>
      <c r="AR41" s="60" t="s">
        <v>16</v>
      </c>
      <c r="AS41" s="50" t="s">
        <v>17</v>
      </c>
      <c r="AT41" s="137">
        <v>12270.72</v>
      </c>
      <c r="AU41" s="137">
        <v>2045.12</v>
      </c>
      <c r="AV41" s="137">
        <v>14315.84</v>
      </c>
      <c r="AW41" s="138">
        <v>-1849.96</v>
      </c>
      <c r="AX41" s="137">
        <v>0.2</v>
      </c>
      <c r="AY41" s="137">
        <v>-1849.76</v>
      </c>
      <c r="AZ41" s="137">
        <v>16165.6</v>
      </c>
      <c r="BC41" s="212">
        <f>SUM(BC9:BC39)</f>
        <v>0</v>
      </c>
      <c r="BD41" s="212">
        <f>SUM(BD9:BD39)</f>
        <v>0</v>
      </c>
      <c r="BG41" s="105"/>
      <c r="BH41" s="86"/>
      <c r="BI41" s="88"/>
      <c r="BJ41" s="86"/>
      <c r="BK41" s="86"/>
      <c r="BL41" s="86"/>
      <c r="BM41" s="86"/>
      <c r="BN41" s="86"/>
      <c r="BO41" s="91"/>
      <c r="BP41" s="91"/>
      <c r="BQ41" s="91"/>
      <c r="BR41" s="91"/>
      <c r="BS41" s="93"/>
      <c r="BT41" s="94"/>
      <c r="BU41" s="95"/>
      <c r="BV41" s="96"/>
      <c r="BW41" s="96"/>
      <c r="BX41" s="91"/>
      <c r="BY41" s="89"/>
      <c r="BZ41" s="94"/>
      <c r="CA41" s="97"/>
      <c r="CB41" s="94"/>
      <c r="CC41" s="98"/>
      <c r="CD41" s="97"/>
      <c r="CE41" s="94"/>
      <c r="CF41" s="99"/>
      <c r="CG41" s="23"/>
      <c r="CH41" s="23"/>
      <c r="CI41" s="155">
        <f>+CF41-CG41-CH41</f>
        <v>0</v>
      </c>
      <c r="CJ41" s="99"/>
      <c r="CK41" s="99"/>
      <c r="CL41" s="101"/>
      <c r="CM41" s="101"/>
      <c r="CN41" s="101"/>
      <c r="CO41" s="101"/>
      <c r="CP41" s="101"/>
    </row>
    <row r="42" spans="1:94" s="21" customFormat="1" hidden="1" x14ac:dyDescent="0.25">
      <c r="A42" s="20"/>
      <c r="B42" s="24"/>
      <c r="C42" s="45"/>
      <c r="D42" s="45"/>
      <c r="E42" s="45"/>
      <c r="F42" s="45"/>
      <c r="G42" s="45"/>
      <c r="H42" s="206">
        <f>+'C&amp;A'!G42+SINDICATO!H42</f>
        <v>2715.7599999999998</v>
      </c>
      <c r="I42" s="206"/>
      <c r="J42" s="206">
        <f>+'C&amp;A'!J42+SINDICATO!L42</f>
        <v>221762.71500000003</v>
      </c>
      <c r="K42" s="206">
        <f>+'C&amp;A'!J42+SINDICATO!E42+'C&amp;A'!G42</f>
        <v>246808.95999999996</v>
      </c>
      <c r="L42" s="206"/>
      <c r="M42" s="206"/>
      <c r="N42" s="206"/>
      <c r="O42" s="206"/>
      <c r="P42" s="45"/>
      <c r="Q42" s="143"/>
      <c r="R42" s="105"/>
      <c r="S42" s="104"/>
      <c r="T42" s="104"/>
      <c r="U42" s="104"/>
      <c r="V42" s="104"/>
      <c r="W42" s="104"/>
      <c r="X42" s="104"/>
      <c r="Y42" s="104"/>
      <c r="Z42" s="135"/>
      <c r="AA42" s="135"/>
      <c r="AB42" s="135"/>
      <c r="AC42" s="135"/>
      <c r="AD42" s="136"/>
      <c r="AE42" s="108">
        <f>SUM(Z42:AC42)-AD42</f>
        <v>0</v>
      </c>
      <c r="AF42" s="135"/>
      <c r="AG42" s="97"/>
      <c r="AH42" s="97"/>
      <c r="AI42" s="97"/>
      <c r="AJ42" s="97"/>
      <c r="AK42" s="108"/>
      <c r="AL42" s="97"/>
      <c r="AM42" s="108"/>
      <c r="AN42" s="97"/>
      <c r="AO42" s="97"/>
      <c r="AP42" s="108"/>
      <c r="BG42" s="105"/>
      <c r="BH42" s="86"/>
      <c r="BI42" s="88"/>
      <c r="BJ42" s="86"/>
      <c r="BK42" s="86"/>
      <c r="BL42" s="86"/>
      <c r="BM42" s="86"/>
      <c r="BN42" s="86"/>
      <c r="BO42" s="91"/>
      <c r="BP42" s="91"/>
      <c r="BQ42" s="91"/>
      <c r="BR42" s="91"/>
      <c r="BS42" s="93"/>
      <c r="BT42" s="94"/>
      <c r="BU42" s="95"/>
      <c r="BV42" s="96"/>
      <c r="BW42" s="96"/>
      <c r="BX42" s="97"/>
      <c r="BY42" s="97"/>
      <c r="BZ42" s="94"/>
      <c r="CA42" s="97"/>
      <c r="CB42" s="94"/>
      <c r="CC42" s="98"/>
      <c r="CD42" s="97"/>
      <c r="CE42" s="94"/>
      <c r="CF42" s="99"/>
      <c r="CG42" s="23"/>
      <c r="CH42" s="23"/>
      <c r="CI42" s="155">
        <f>+CF42-CG42-CH42</f>
        <v>0</v>
      </c>
      <c r="CJ42" s="99"/>
      <c r="CK42" s="99"/>
      <c r="CL42" s="101"/>
      <c r="CM42" s="101"/>
      <c r="CN42" s="101"/>
      <c r="CO42" s="101"/>
      <c r="CP42" s="101"/>
    </row>
    <row r="43" spans="1:94" s="21" customFormat="1" hidden="1" x14ac:dyDescent="0.25">
      <c r="A43" s="20"/>
      <c r="C43" s="21" t="s">
        <v>17</v>
      </c>
      <c r="D43" s="62"/>
      <c r="H43" s="206">
        <f>+H41-H42</f>
        <v>0.25</v>
      </c>
      <c r="I43" s="207">
        <f>+SINDICATO!I42</f>
        <v>21806.315000000002</v>
      </c>
      <c r="J43" s="206">
        <f>+J41-J42</f>
        <v>-0.30000000004656613</v>
      </c>
      <c r="K43" s="206">
        <f>+K41-K42</f>
        <v>-524.21999999994296</v>
      </c>
      <c r="L43" s="207"/>
      <c r="M43" s="207" t="s">
        <v>17</v>
      </c>
      <c r="N43" s="208">
        <f>+INCIDENCIAS!Y39</f>
        <v>0</v>
      </c>
      <c r="O43" s="207" t="s">
        <v>17</v>
      </c>
      <c r="P43" s="45"/>
      <c r="Q43" s="143">
        <f>+SINDICATO!I42+SINDICATO!H42+'C&amp;A'!G42</f>
        <v>24522.075000000001</v>
      </c>
      <c r="AR43" s="31"/>
      <c r="AS43" s="31"/>
      <c r="AT43" s="50" t="s">
        <v>17</v>
      </c>
      <c r="AU43" s="50" t="s">
        <v>17</v>
      </c>
      <c r="AV43" s="50" t="s">
        <v>17</v>
      </c>
      <c r="AW43" s="50" t="s">
        <v>17</v>
      </c>
      <c r="AX43" s="50" t="s">
        <v>17</v>
      </c>
      <c r="AY43" s="50" t="s">
        <v>17</v>
      </c>
      <c r="AZ43" s="50" t="s">
        <v>17</v>
      </c>
      <c r="BG43" s="105"/>
      <c r="BH43" s="106"/>
      <c r="BI43" s="106"/>
      <c r="BJ43" s="106"/>
      <c r="BK43" s="106"/>
      <c r="BL43" s="106"/>
      <c r="BM43" s="106"/>
      <c r="BN43" s="106"/>
      <c r="BO43" s="107"/>
      <c r="BP43" s="107"/>
      <c r="BQ43" s="107"/>
      <c r="BR43" s="107"/>
      <c r="BS43" s="107"/>
      <c r="BT43" s="108"/>
      <c r="BU43" s="107"/>
      <c r="BV43" s="97"/>
      <c r="BW43" s="97"/>
      <c r="BX43" s="97"/>
      <c r="BY43" s="97"/>
      <c r="BZ43" s="109"/>
      <c r="CA43" s="97"/>
      <c r="CB43" s="108"/>
      <c r="CC43" s="97"/>
      <c r="CD43" s="97"/>
      <c r="CE43" s="108"/>
      <c r="CF43" s="99"/>
      <c r="CG43" s="23"/>
      <c r="CH43" s="23"/>
      <c r="CI43" s="155">
        <f t="shared" ref="CG43:CI47" si="33">+CF43-CG43-CH43</f>
        <v>0</v>
      </c>
      <c r="CJ43" s="99"/>
      <c r="CK43" s="99"/>
      <c r="CL43" s="101"/>
      <c r="CM43" s="101"/>
      <c r="CN43" s="101"/>
      <c r="CO43" s="101"/>
      <c r="CP43" s="101"/>
    </row>
    <row r="44" spans="1:94" s="21" customFormat="1" ht="16.5" hidden="1" thickBot="1" x14ac:dyDescent="0.3">
      <c r="A44" s="20" t="s">
        <v>17</v>
      </c>
      <c r="C44" s="27"/>
      <c r="D44" s="27"/>
      <c r="E44" s="27"/>
      <c r="F44" s="27"/>
      <c r="G44" s="27"/>
      <c r="H44" s="209"/>
      <c r="I44" s="210"/>
      <c r="J44" s="210"/>
      <c r="K44" s="210">
        <f>+G41</f>
        <v>524.16999999999996</v>
      </c>
      <c r="L44" s="209"/>
      <c r="M44" s="209"/>
      <c r="N44" s="211">
        <f>+N41-N43</f>
        <v>249425.77560000002</v>
      </c>
      <c r="O44" s="209"/>
      <c r="P44" s="61"/>
      <c r="Q44" s="143">
        <f>+Q41-Q43</f>
        <v>-1968.143999999993</v>
      </c>
      <c r="AR44" s="49" t="s">
        <v>17</v>
      </c>
      <c r="AS44" s="50" t="s">
        <v>17</v>
      </c>
      <c r="AT44" s="139"/>
      <c r="AU44" s="139"/>
      <c r="AV44" s="139"/>
      <c r="AW44" s="139"/>
      <c r="AX44" s="139"/>
      <c r="AY44" s="139"/>
      <c r="AZ44" s="139"/>
      <c r="BG44" s="101"/>
      <c r="BH44" s="110" t="s">
        <v>204</v>
      </c>
      <c r="BI44" s="110"/>
      <c r="BJ44" s="110"/>
      <c r="BK44" s="110"/>
      <c r="BL44" s="110"/>
      <c r="BM44" s="197">
        <f>SUM(BM9:BM43)</f>
        <v>15725.330000000007</v>
      </c>
      <c r="BN44" s="197">
        <f t="shared" ref="BN44:CE44" si="34">SUM(BN9:BN43)</f>
        <v>16859.020000000004</v>
      </c>
      <c r="BO44" s="197">
        <f t="shared" si="34"/>
        <v>32584.35</v>
      </c>
      <c r="BP44" s="197">
        <f t="shared" si="34"/>
        <v>213828.14000000004</v>
      </c>
      <c r="BQ44" s="197">
        <f t="shared" si="34"/>
        <v>0</v>
      </c>
      <c r="BR44" s="197">
        <f t="shared" si="34"/>
        <v>0</v>
      </c>
      <c r="BS44" s="197">
        <f t="shared" si="34"/>
        <v>0</v>
      </c>
      <c r="BT44" s="197">
        <f>SUM(BT9:BT43)</f>
        <v>246412.49000000002</v>
      </c>
      <c r="BU44" s="197">
        <f t="shared" si="34"/>
        <v>0</v>
      </c>
      <c r="BV44" s="197">
        <f t="shared" si="34"/>
        <v>0</v>
      </c>
      <c r="BW44" s="197">
        <f t="shared" si="34"/>
        <v>0</v>
      </c>
      <c r="BX44" s="197">
        <f t="shared" si="34"/>
        <v>524.16999999999996</v>
      </c>
      <c r="BY44" s="197">
        <f t="shared" si="34"/>
        <v>2716.0099999999998</v>
      </c>
      <c r="BZ44" s="197">
        <f t="shared" si="34"/>
        <v>243172.31</v>
      </c>
      <c r="CA44" s="197">
        <f t="shared" si="34"/>
        <v>21806.315000000002</v>
      </c>
      <c r="CB44" s="197">
        <f t="shared" si="34"/>
        <v>221365.99499999994</v>
      </c>
      <c r="CC44" s="197">
        <f t="shared" si="34"/>
        <v>2834.9340000000002</v>
      </c>
      <c r="CD44" s="197">
        <f t="shared" si="34"/>
        <v>314.50659999999988</v>
      </c>
      <c r="CE44" s="197">
        <f t="shared" si="34"/>
        <v>249561.93060000005</v>
      </c>
      <c r="CF44" s="197">
        <f>SUM(CF9:CF43)</f>
        <v>0</v>
      </c>
      <c r="CG44" s="197">
        <f t="shared" ref="CG44" si="35">SUM(CG9:CG43)</f>
        <v>0</v>
      </c>
      <c r="CH44" s="197">
        <f t="shared" ref="CH44" si="36">SUM(CH9:CH43)</f>
        <v>0</v>
      </c>
      <c r="CI44" s="197">
        <f t="shared" ref="CI44" si="37">SUM(CI9:CI43)</f>
        <v>-221365.99499999994</v>
      </c>
      <c r="CJ44" s="197">
        <f t="shared" ref="CJ44" si="38">SUM(CJ9:CJ43)</f>
        <v>37272716661</v>
      </c>
      <c r="CK44" s="101"/>
      <c r="CL44" s="101"/>
      <c r="CM44" s="101"/>
      <c r="CN44" s="101"/>
      <c r="CO44" s="101"/>
      <c r="CP44" s="101"/>
    </row>
    <row r="45" spans="1:94" s="21" customFormat="1" hidden="1" x14ac:dyDescent="0.25">
      <c r="A45" s="20"/>
      <c r="B45" s="21" t="s">
        <v>17</v>
      </c>
      <c r="H45" s="207"/>
      <c r="I45" s="207"/>
      <c r="J45" s="206"/>
      <c r="K45" s="206">
        <f>+K43+K44</f>
        <v>-4.999999994299742E-2</v>
      </c>
      <c r="L45" s="207"/>
      <c r="M45" s="207"/>
      <c r="N45" s="207"/>
      <c r="O45" s="206"/>
      <c r="P45" s="142"/>
      <c r="BF45" s="101"/>
      <c r="BG45" s="101"/>
      <c r="BH45" s="101"/>
      <c r="BI45" s="101"/>
      <c r="BJ45" s="101"/>
      <c r="BK45" s="101"/>
      <c r="BL45" s="101"/>
      <c r="BM45" s="101"/>
      <c r="BN45" s="82"/>
      <c r="BO45" s="82"/>
      <c r="BP45" s="82"/>
      <c r="BQ45" s="82"/>
      <c r="BR45" s="82"/>
      <c r="BS45" s="83"/>
      <c r="BT45" s="82"/>
      <c r="BU45" s="82"/>
      <c r="BV45" s="82"/>
      <c r="BW45" s="82"/>
      <c r="BX45" s="82"/>
      <c r="BY45" s="83"/>
      <c r="BZ45" s="82"/>
      <c r="CA45" s="83"/>
      <c r="CB45" s="82"/>
      <c r="CC45" s="82"/>
      <c r="CD45" s="83">
        <f>CE44*0.16</f>
        <v>39929.908896000008</v>
      </c>
      <c r="CE45" s="101"/>
      <c r="CF45" s="23"/>
      <c r="CG45" s="23"/>
      <c r="CH45" s="155">
        <f t="shared" si="33"/>
        <v>0</v>
      </c>
      <c r="CI45" s="99"/>
      <c r="CJ45" s="101"/>
      <c r="CK45" s="101"/>
      <c r="CL45" s="101"/>
      <c r="CM45" s="101"/>
      <c r="CN45" s="101"/>
      <c r="CO45" s="101"/>
      <c r="CP45" s="101"/>
    </row>
    <row r="46" spans="1:94" s="21" customFormat="1" x14ac:dyDescent="0.25">
      <c r="A46" s="20"/>
      <c r="I46" s="45"/>
      <c r="O46" s="142"/>
      <c r="BE46" s="223" t="s">
        <v>205</v>
      </c>
      <c r="BF46" s="223"/>
      <c r="BG46" s="101"/>
      <c r="BH46" s="101"/>
      <c r="BI46" s="101"/>
      <c r="BJ46" s="101"/>
      <c r="BK46" s="101"/>
      <c r="BL46" s="101"/>
      <c r="BM46" s="82"/>
      <c r="BN46" s="82"/>
      <c r="BO46" s="82"/>
      <c r="BP46" s="82"/>
      <c r="BQ46" s="82"/>
      <c r="BR46" s="83"/>
      <c r="BS46" s="82"/>
      <c r="BT46" s="82"/>
      <c r="BU46" s="82"/>
      <c r="BV46" s="82"/>
      <c r="BW46" s="82"/>
      <c r="BX46" s="83"/>
      <c r="BY46" s="82">
        <f>+CA44-BZ45</f>
        <v>21806.315000000002</v>
      </c>
      <c r="BZ46" s="83"/>
      <c r="CA46" s="82"/>
      <c r="CB46" s="82"/>
      <c r="CC46" s="83">
        <f>+CE44+CD45</f>
        <v>289491.83949600009</v>
      </c>
      <c r="CD46" s="170">
        <v>112981.14</v>
      </c>
      <c r="CE46" s="23"/>
      <c r="CF46" s="23"/>
      <c r="CG46" s="155">
        <f t="shared" si="33"/>
        <v>112981.14</v>
      </c>
      <c r="CH46" s="101"/>
      <c r="CI46" s="101"/>
      <c r="CJ46" s="101"/>
      <c r="CK46" s="101"/>
      <c r="CL46" s="101"/>
      <c r="CM46" s="101"/>
      <c r="CN46" s="101"/>
      <c r="CO46" s="101"/>
      <c r="CP46" s="101"/>
    </row>
    <row r="47" spans="1:94" x14ac:dyDescent="0.25">
      <c r="A47" s="20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142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105"/>
      <c r="BF47" s="86"/>
      <c r="BG47" s="88"/>
      <c r="BH47" s="86"/>
      <c r="BI47" s="86"/>
      <c r="BJ47" s="86"/>
      <c r="BK47" s="86"/>
      <c r="BL47" s="86"/>
      <c r="BM47" s="91"/>
      <c r="BN47" s="91"/>
      <c r="BO47" s="91"/>
      <c r="BP47" s="91"/>
      <c r="BQ47" s="91"/>
      <c r="BR47" s="94">
        <f>SUM(BM47:BQ47)</f>
        <v>0</v>
      </c>
      <c r="BS47" s="95"/>
      <c r="BT47" s="96"/>
      <c r="BU47" s="96"/>
      <c r="BV47" s="96"/>
      <c r="BW47" s="96"/>
      <c r="BX47" s="94">
        <f>+BR47-BS47</f>
        <v>0</v>
      </c>
      <c r="BY47" s="97">
        <f>+BX47*0.05</f>
        <v>0</v>
      </c>
      <c r="BZ47" s="94">
        <f>+BX47-BT47-BW47</f>
        <v>0</v>
      </c>
      <c r="CA47" s="98">
        <f>IF(BX47&lt;3000,BX47*0.1,0)</f>
        <v>0</v>
      </c>
      <c r="CB47" s="97">
        <v>0</v>
      </c>
      <c r="CC47" s="94">
        <f>+BX47+CA47+CB47</f>
        <v>0</v>
      </c>
      <c r="CE47" s="23"/>
      <c r="CF47" s="23"/>
      <c r="CG47" s="155">
        <f t="shared" si="33"/>
        <v>0</v>
      </c>
    </row>
    <row r="48" spans="1:94" x14ac:dyDescent="0.25">
      <c r="A48" s="20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142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105"/>
      <c r="BF48" s="88"/>
      <c r="BG48" s="88"/>
      <c r="BH48" s="88"/>
      <c r="BI48" s="88"/>
      <c r="BJ48" s="88"/>
      <c r="BK48" s="88"/>
      <c r="BL48" s="88"/>
      <c r="BM48" s="92"/>
      <c r="BN48" s="92"/>
      <c r="BO48" s="92"/>
      <c r="BP48" s="92"/>
      <c r="BQ48" s="92"/>
      <c r="BR48" s="94">
        <f>SUM(BM48:BQ48)</f>
        <v>0</v>
      </c>
      <c r="BS48" s="95"/>
      <c r="BT48" s="96"/>
      <c r="BU48" s="96"/>
      <c r="BV48" s="96"/>
      <c r="BW48" s="96"/>
      <c r="BX48" s="94">
        <f>+BR48-BS48</f>
        <v>0</v>
      </c>
      <c r="BY48" s="97">
        <f>+BX48*0.05</f>
        <v>0</v>
      </c>
      <c r="BZ48" s="94">
        <f>+BX48-BT48-BW48</f>
        <v>0</v>
      </c>
      <c r="CA48" s="98">
        <f>IF(BX48&lt;3000,BX48*0.1,0)</f>
        <v>0</v>
      </c>
      <c r="CB48" s="97">
        <v>0</v>
      </c>
      <c r="CC48" s="94">
        <f>+BX48+CA48+CB48</f>
        <v>0</v>
      </c>
      <c r="CE48" s="159"/>
      <c r="CF48" s="159"/>
      <c r="CG48" s="167"/>
    </row>
    <row r="49" spans="1:85" x14ac:dyDescent="0.25">
      <c r="A49" s="20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142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CC49" s="83">
        <f>SUM(CC47:CC48)</f>
        <v>0</v>
      </c>
      <c r="CE49" s="23"/>
      <c r="CF49" s="23"/>
      <c r="CG49" s="155">
        <f>+CD49-CE49-CF49</f>
        <v>0</v>
      </c>
    </row>
    <row r="50" spans="1:85" x14ac:dyDescent="0.25">
      <c r="A50" s="20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142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BF50" s="112" t="s">
        <v>206</v>
      </c>
      <c r="BG50" s="112"/>
      <c r="CC50" s="83">
        <f>+CC49*0.16</f>
        <v>0</v>
      </c>
      <c r="CE50" s="23"/>
      <c r="CF50" s="23"/>
      <c r="CG50" s="155">
        <f>+CD50-CE50-CF50</f>
        <v>0</v>
      </c>
    </row>
    <row r="51" spans="1:85" x14ac:dyDescent="0.25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142"/>
      <c r="BF51" s="112"/>
      <c r="BG51" s="112"/>
      <c r="CC51" s="83">
        <f>+CC49+CC50</f>
        <v>0</v>
      </c>
      <c r="CE51" s="23"/>
      <c r="CF51" s="23"/>
      <c r="CG51" s="155">
        <f>+CD51-CE51-CF51</f>
        <v>0</v>
      </c>
    </row>
    <row r="52" spans="1:85" x14ac:dyDescent="0.25">
      <c r="A52" s="20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42"/>
      <c r="BF52" s="112"/>
      <c r="BG52" s="112"/>
      <c r="CE52" s="159"/>
      <c r="CF52" s="159"/>
      <c r="CG52" s="167"/>
    </row>
    <row r="53" spans="1:85" x14ac:dyDescent="0.25">
      <c r="A53" s="20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142"/>
      <c r="BF53" s="112" t="s">
        <v>207</v>
      </c>
      <c r="BG53" s="112"/>
      <c r="CC53" s="83">
        <f>+CC46+CC51</f>
        <v>289491.83949600009</v>
      </c>
      <c r="CE53" s="23"/>
      <c r="CF53" s="23"/>
      <c r="CG53" s="155">
        <f t="shared" ref="CG53:CG70" si="39">+CD53-CE53-CF53</f>
        <v>0</v>
      </c>
    </row>
    <row r="54" spans="1:85" x14ac:dyDescent="0.25">
      <c r="A54" s="20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142"/>
      <c r="BF54" s="99"/>
      <c r="CE54" s="23"/>
      <c r="CF54" s="23"/>
      <c r="CG54" s="155">
        <f t="shared" si="39"/>
        <v>0</v>
      </c>
    </row>
    <row r="55" spans="1:85" x14ac:dyDescent="0.25">
      <c r="BF55" s="99"/>
      <c r="CE55" s="23"/>
      <c r="CF55" s="23"/>
      <c r="CG55" s="155">
        <f t="shared" si="39"/>
        <v>0</v>
      </c>
    </row>
    <row r="56" spans="1:85" x14ac:dyDescent="0.25">
      <c r="BF56" s="23"/>
      <c r="CE56" s="23"/>
      <c r="CF56" s="23"/>
      <c r="CG56" s="155">
        <f t="shared" si="39"/>
        <v>0</v>
      </c>
    </row>
    <row r="57" spans="1:85" x14ac:dyDescent="0.25">
      <c r="BF57" s="23"/>
      <c r="CE57" s="23"/>
      <c r="CF57" s="23"/>
      <c r="CG57" s="155">
        <f t="shared" si="39"/>
        <v>0</v>
      </c>
    </row>
    <row r="58" spans="1:85" x14ac:dyDescent="0.25">
      <c r="CE58" s="23"/>
      <c r="CF58" s="23"/>
      <c r="CG58" s="155">
        <f t="shared" si="39"/>
        <v>0</v>
      </c>
    </row>
    <row r="59" spans="1:85" x14ac:dyDescent="0.25">
      <c r="CE59" s="23"/>
      <c r="CF59" s="23"/>
      <c r="CG59" s="155">
        <f t="shared" si="39"/>
        <v>0</v>
      </c>
    </row>
    <row r="60" spans="1:85" x14ac:dyDescent="0.25">
      <c r="BE60" s="101" t="s">
        <v>208</v>
      </c>
      <c r="BF60" s="82"/>
      <c r="CE60" s="23"/>
      <c r="CF60" s="23"/>
      <c r="CG60" s="155">
        <f t="shared" si="39"/>
        <v>0</v>
      </c>
    </row>
    <row r="61" spans="1:85" x14ac:dyDescent="0.25">
      <c r="BE61" s="101" t="s">
        <v>209</v>
      </c>
      <c r="BF61" s="82"/>
      <c r="CE61" s="23"/>
      <c r="CF61" s="23"/>
      <c r="CG61" s="155">
        <f t="shared" si="39"/>
        <v>0</v>
      </c>
    </row>
    <row r="62" spans="1:85" x14ac:dyDescent="0.25">
      <c r="BE62" s="101" t="s">
        <v>210</v>
      </c>
      <c r="BF62" s="82"/>
      <c r="CE62" s="23"/>
      <c r="CF62" s="23"/>
      <c r="CG62" s="155">
        <f t="shared" si="39"/>
        <v>0</v>
      </c>
    </row>
    <row r="63" spans="1:85" x14ac:dyDescent="0.25">
      <c r="BE63" s="101" t="s">
        <v>211</v>
      </c>
      <c r="BF63" s="82"/>
      <c r="CE63" s="23"/>
      <c r="CF63" s="23"/>
      <c r="CG63" s="155">
        <f t="shared" si="39"/>
        <v>0</v>
      </c>
    </row>
    <row r="64" spans="1:85" x14ac:dyDescent="0.25">
      <c r="BE64" s="101" t="s">
        <v>212</v>
      </c>
      <c r="BF64" s="82"/>
      <c r="CE64" s="23"/>
      <c r="CF64" s="23"/>
      <c r="CG64" s="155">
        <f t="shared" si="39"/>
        <v>0</v>
      </c>
    </row>
    <row r="65" spans="57:85" x14ac:dyDescent="0.25">
      <c r="BE65" s="101" t="s">
        <v>213</v>
      </c>
      <c r="BF65" s="82"/>
      <c r="CE65" s="23"/>
      <c r="CF65" s="23"/>
      <c r="CG65" s="155">
        <f t="shared" si="39"/>
        <v>0</v>
      </c>
    </row>
    <row r="66" spans="57:85" x14ac:dyDescent="0.25">
      <c r="CE66" s="23"/>
      <c r="CF66" s="23"/>
      <c r="CG66" s="155">
        <f t="shared" si="39"/>
        <v>0</v>
      </c>
    </row>
    <row r="67" spans="57:85" x14ac:dyDescent="0.25">
      <c r="CE67" s="23"/>
      <c r="CF67" s="23"/>
      <c r="CG67" s="155">
        <f t="shared" si="39"/>
        <v>0</v>
      </c>
    </row>
    <row r="68" spans="57:85" x14ac:dyDescent="0.25">
      <c r="CE68" s="23"/>
      <c r="CF68" s="23"/>
      <c r="CG68" s="155">
        <f t="shared" si="39"/>
        <v>0</v>
      </c>
    </row>
    <row r="69" spans="57:85" x14ac:dyDescent="0.25">
      <c r="CE69" s="23"/>
      <c r="CF69" s="23"/>
      <c r="CG69" s="155">
        <f t="shared" si="39"/>
        <v>0</v>
      </c>
    </row>
    <row r="70" spans="57:85" x14ac:dyDescent="0.25">
      <c r="CE70" s="23"/>
      <c r="CF70" s="23"/>
      <c r="CG70" s="155">
        <f t="shared" si="39"/>
        <v>0</v>
      </c>
    </row>
    <row r="71" spans="57:85" x14ac:dyDescent="0.25">
      <c r="CE71" s="159"/>
      <c r="CF71" s="159"/>
      <c r="CG71" s="167"/>
    </row>
    <row r="72" spans="57:85" x14ac:dyDescent="0.25">
      <c r="CE72" s="23"/>
      <c r="CF72" s="23"/>
      <c r="CG72" s="155">
        <f t="shared" ref="CG72:CG80" si="40">+CD72-CE72-CF72</f>
        <v>0</v>
      </c>
    </row>
    <row r="73" spans="57:85" x14ac:dyDescent="0.25">
      <c r="CE73" s="23"/>
      <c r="CF73" s="23"/>
      <c r="CG73" s="155">
        <f t="shared" si="40"/>
        <v>0</v>
      </c>
    </row>
    <row r="74" spans="57:85" x14ac:dyDescent="0.25">
      <c r="CE74" s="23"/>
      <c r="CF74" s="23"/>
      <c r="CG74" s="155">
        <f t="shared" si="40"/>
        <v>0</v>
      </c>
    </row>
    <row r="75" spans="57:85" x14ac:dyDescent="0.25">
      <c r="CE75" s="23"/>
      <c r="CF75" s="23"/>
      <c r="CG75" s="155">
        <f t="shared" si="40"/>
        <v>0</v>
      </c>
    </row>
    <row r="76" spans="57:85" x14ac:dyDescent="0.25">
      <c r="CE76" s="23"/>
      <c r="CF76" s="23"/>
      <c r="CG76" s="155">
        <f t="shared" si="40"/>
        <v>0</v>
      </c>
    </row>
    <row r="77" spans="57:85" x14ac:dyDescent="0.25">
      <c r="CE77" s="23"/>
      <c r="CF77" s="23"/>
      <c r="CG77" s="155">
        <f t="shared" si="40"/>
        <v>0</v>
      </c>
    </row>
    <row r="78" spans="57:85" x14ac:dyDescent="0.25">
      <c r="CE78" s="23"/>
      <c r="CF78" s="23"/>
      <c r="CG78" s="155">
        <f t="shared" si="40"/>
        <v>0</v>
      </c>
    </row>
    <row r="79" spans="57:85" x14ac:dyDescent="0.25">
      <c r="CE79" s="23"/>
      <c r="CF79" s="23"/>
      <c r="CG79" s="155">
        <f t="shared" si="40"/>
        <v>0</v>
      </c>
    </row>
    <row r="80" spans="57:85" x14ac:dyDescent="0.25">
      <c r="CE80" s="23"/>
      <c r="CF80" s="23"/>
      <c r="CG80" s="155">
        <f t="shared" si="40"/>
        <v>0</v>
      </c>
    </row>
    <row r="81" spans="83:85" x14ac:dyDescent="0.25">
      <c r="CE81" s="159"/>
      <c r="CF81" s="159"/>
      <c r="CG81" s="167"/>
    </row>
    <row r="82" spans="83:85" x14ac:dyDescent="0.25">
      <c r="CE82" s="23"/>
      <c r="CF82" s="23"/>
      <c r="CG82" s="155">
        <f t="shared" ref="CG82:CG93" si="41">+CD82-CE82-CF82</f>
        <v>0</v>
      </c>
    </row>
    <row r="83" spans="83:85" x14ac:dyDescent="0.25">
      <c r="CE83" s="23"/>
      <c r="CF83" s="23"/>
      <c r="CG83" s="155">
        <f t="shared" si="41"/>
        <v>0</v>
      </c>
    </row>
    <row r="84" spans="83:85" x14ac:dyDescent="0.25">
      <c r="CE84" s="23"/>
      <c r="CF84" s="23"/>
      <c r="CG84" s="155">
        <f t="shared" si="41"/>
        <v>0</v>
      </c>
    </row>
    <row r="85" spans="83:85" x14ac:dyDescent="0.25">
      <c r="CE85" s="23"/>
      <c r="CF85" s="23"/>
      <c r="CG85" s="155">
        <f t="shared" si="41"/>
        <v>0</v>
      </c>
    </row>
    <row r="86" spans="83:85" x14ac:dyDescent="0.25">
      <c r="CE86" s="23"/>
      <c r="CF86" s="23"/>
      <c r="CG86" s="155">
        <f t="shared" si="41"/>
        <v>0</v>
      </c>
    </row>
    <row r="87" spans="83:85" x14ac:dyDescent="0.25">
      <c r="CE87" s="23"/>
      <c r="CF87" s="23"/>
      <c r="CG87" s="155">
        <f t="shared" si="41"/>
        <v>0</v>
      </c>
    </row>
    <row r="88" spans="83:85" x14ac:dyDescent="0.25">
      <c r="CE88" s="23"/>
      <c r="CF88" s="23"/>
      <c r="CG88" s="155">
        <f t="shared" si="41"/>
        <v>0</v>
      </c>
    </row>
    <row r="89" spans="83:85" x14ac:dyDescent="0.25">
      <c r="CE89" s="23"/>
      <c r="CF89" s="23"/>
      <c r="CG89" s="155">
        <f t="shared" si="41"/>
        <v>0</v>
      </c>
    </row>
    <row r="90" spans="83:85" x14ac:dyDescent="0.25">
      <c r="CE90" s="23"/>
      <c r="CF90" s="23"/>
      <c r="CG90" s="155">
        <f t="shared" si="41"/>
        <v>0</v>
      </c>
    </row>
    <row r="91" spans="83:85" x14ac:dyDescent="0.25">
      <c r="CE91" s="23"/>
      <c r="CF91" s="23"/>
      <c r="CG91" s="155">
        <f t="shared" si="41"/>
        <v>0</v>
      </c>
    </row>
    <row r="92" spans="83:85" x14ac:dyDescent="0.25">
      <c r="CE92" s="23"/>
      <c r="CF92" s="23"/>
      <c r="CG92" s="155">
        <f t="shared" si="41"/>
        <v>0</v>
      </c>
    </row>
    <row r="93" spans="83:85" x14ac:dyDescent="0.25">
      <c r="CE93" s="23"/>
      <c r="CF93" s="23"/>
      <c r="CG93" s="155">
        <f t="shared" si="41"/>
        <v>0</v>
      </c>
    </row>
    <row r="94" spans="83:85" x14ac:dyDescent="0.25">
      <c r="CE94" s="23"/>
      <c r="CF94" s="23"/>
      <c r="CG94" s="23"/>
    </row>
    <row r="95" spans="83:85" x14ac:dyDescent="0.25">
      <c r="CE95" s="23"/>
      <c r="CF95" s="23"/>
      <c r="CG95" s="23"/>
    </row>
    <row r="96" spans="83:85" x14ac:dyDescent="0.25">
      <c r="CE96" s="23"/>
      <c r="CF96" s="23"/>
      <c r="CG96" s="23"/>
    </row>
    <row r="97" spans="83:85" x14ac:dyDescent="0.25">
      <c r="CE97" s="23"/>
      <c r="CF97" s="23"/>
      <c r="CG97" s="23"/>
    </row>
    <row r="98" spans="83:85" x14ac:dyDescent="0.25">
      <c r="CE98" s="23"/>
      <c r="CF98" s="23"/>
      <c r="CG98" s="23"/>
    </row>
    <row r="99" spans="83:85" ht="16.5" thickBot="1" x14ac:dyDescent="0.3">
      <c r="CE99" s="171">
        <f>SUM(CE9:CE98)</f>
        <v>499123.8612000001</v>
      </c>
      <c r="CF99" s="171">
        <f>SUM(CF9:CF98)</f>
        <v>0</v>
      </c>
      <c r="CG99" s="171">
        <f>SUM(CG9:CG98)</f>
        <v>112981.14</v>
      </c>
    </row>
    <row r="100" spans="83:85" ht="16.5" thickTop="1" x14ac:dyDescent="0.25">
      <c r="CE100" s="172"/>
      <c r="CF100" s="172"/>
      <c r="CG100" s="172"/>
    </row>
    <row r="101" spans="83:85" x14ac:dyDescent="0.25">
      <c r="CE101" s="172"/>
      <c r="CF101" s="172"/>
      <c r="CG101" s="172"/>
    </row>
    <row r="102" spans="83:85" x14ac:dyDescent="0.25">
      <c r="CE102" s="173" t="e">
        <f>+BX102+#REF!+CD102</f>
        <v>#REF!</v>
      </c>
      <c r="CF102" s="173" t="e">
        <f>+BY102+CD102+CE102</f>
        <v>#REF!</v>
      </c>
      <c r="CG102" s="173" t="e">
        <f>+BZ102+CE102+CF102</f>
        <v>#REF!</v>
      </c>
    </row>
    <row r="103" spans="83:85" x14ac:dyDescent="0.25">
      <c r="CE103" s="173" t="e">
        <f>+BX103+#REF!+CD103</f>
        <v>#REF!</v>
      </c>
      <c r="CF103" s="173" t="e">
        <f>+BY103+CD103+CE103</f>
        <v>#REF!</v>
      </c>
      <c r="CG103" s="173" t="e">
        <f>+BZ103+CE103+CF103</f>
        <v>#REF!</v>
      </c>
    </row>
  </sheetData>
  <autoFilter ref="A8:CN45">
    <filterColumn colId="84" showButton="0"/>
    <filterColumn colId="91">
      <filters>
        <filter val="700-070"/>
      </filters>
    </filterColumn>
  </autoFilter>
  <sortState ref="BG10:CO43">
    <sortCondition ref="BH10:BH43"/>
  </sortState>
  <mergeCells count="7">
    <mergeCell ref="BE46:BF46"/>
    <mergeCell ref="CG8:CH8"/>
    <mergeCell ref="AQ1:AS1"/>
    <mergeCell ref="AQ2:AS2"/>
    <mergeCell ref="AQ3:AS3"/>
    <mergeCell ref="AQ4:AS4"/>
    <mergeCell ref="B1:C1"/>
  </mergeCells>
  <pageMargins left="0.70866141732283472" right="0.70866141732283472" top="0.74803149606299213" bottom="0.74803149606299213" header="0.31496062992125984" footer="0.31496062992125984"/>
  <pageSetup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43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38" sqref="A38"/>
    </sheetView>
  </sheetViews>
  <sheetFormatPr baseColWidth="10" defaultRowHeight="11.25" x14ac:dyDescent="0.2"/>
  <cols>
    <col min="1" max="1" width="12.28515625" style="3" customWidth="1"/>
    <col min="2" max="2" width="30.7109375" style="2" customWidth="1"/>
    <col min="3" max="3" width="13" style="2" customWidth="1"/>
    <col min="4" max="4" width="13" style="34" customWidth="1"/>
    <col min="5" max="5" width="13.5703125" style="2" customWidth="1"/>
    <col min="6" max="6" width="13" style="2" customWidth="1"/>
    <col min="7" max="7" width="13" style="126" customWidth="1"/>
    <col min="8" max="10" width="13" style="2" customWidth="1"/>
    <col min="11" max="16384" width="11.42578125" style="2"/>
  </cols>
  <sheetData>
    <row r="1" spans="1:10" ht="18" customHeight="1" x14ac:dyDescent="0.25">
      <c r="A1" s="4" t="s">
        <v>0</v>
      </c>
      <c r="B1" s="226" t="s">
        <v>17</v>
      </c>
      <c r="C1" s="231"/>
      <c r="D1" s="35"/>
    </row>
    <row r="2" spans="1:10" ht="24.95" customHeight="1" x14ac:dyDescent="0.2">
      <c r="A2" s="5" t="s">
        <v>1</v>
      </c>
      <c r="B2" s="69" t="s">
        <v>2</v>
      </c>
      <c r="C2" s="10"/>
      <c r="D2" s="10"/>
    </row>
    <row r="3" spans="1:10" ht="15" x14ac:dyDescent="0.2">
      <c r="B3" s="70" t="s">
        <v>3</v>
      </c>
      <c r="C3" s="57"/>
      <c r="D3" s="57"/>
    </row>
    <row r="4" spans="1:10" ht="15" x14ac:dyDescent="0.25">
      <c r="B4" s="232" t="str">
        <f>+FACTURACIÓN!B4</f>
        <v>Periodo 8 al 8 Semanal del 17/02/2016 al 23/02/2016</v>
      </c>
      <c r="C4" s="231"/>
      <c r="D4" s="231"/>
    </row>
    <row r="5" spans="1:10" ht="15" x14ac:dyDescent="0.25">
      <c r="B5" s="67" t="s">
        <v>4</v>
      </c>
      <c r="C5" s="46"/>
      <c r="D5" s="46"/>
    </row>
    <row r="6" spans="1:10" ht="15" x14ac:dyDescent="0.25">
      <c r="B6" s="67" t="s">
        <v>5</v>
      </c>
      <c r="C6" s="46"/>
      <c r="D6" s="46"/>
    </row>
    <row r="7" spans="1:10" x14ac:dyDescent="0.2">
      <c r="B7" s="67"/>
    </row>
    <row r="8" spans="1:10" s="6" customFormat="1" ht="23.25" thickBot="1" x14ac:dyDescent="0.25">
      <c r="A8" s="7" t="s">
        <v>6</v>
      </c>
      <c r="B8" s="8" t="s">
        <v>7</v>
      </c>
      <c r="C8" s="36" t="s">
        <v>8</v>
      </c>
      <c r="D8" s="36" t="s">
        <v>65</v>
      </c>
      <c r="E8" s="37" t="s">
        <v>9</v>
      </c>
      <c r="F8" s="36" t="s">
        <v>10</v>
      </c>
      <c r="G8" s="13" t="s">
        <v>30</v>
      </c>
      <c r="H8" s="36" t="s">
        <v>11</v>
      </c>
      <c r="I8" s="37" t="s">
        <v>12</v>
      </c>
      <c r="J8" s="38" t="s">
        <v>13</v>
      </c>
    </row>
    <row r="9" spans="1:10" s="50" customFormat="1" ht="12" thickTop="1" x14ac:dyDescent="0.2">
      <c r="A9" s="49"/>
    </row>
    <row r="10" spans="1:10" s="50" customFormat="1" x14ac:dyDescent="0.2">
      <c r="A10" s="127" t="s">
        <v>221</v>
      </c>
      <c r="B10" s="126" t="s">
        <v>66</v>
      </c>
      <c r="C10" s="202">
        <v>438.24</v>
      </c>
      <c r="D10" s="202">
        <v>73.040000000000006</v>
      </c>
      <c r="E10" s="45">
        <f>SUM(C10:D10)</f>
        <v>511.28000000000003</v>
      </c>
      <c r="F10" s="203">
        <v>-66.069999999999993</v>
      </c>
      <c r="G10" s="132">
        <v>0</v>
      </c>
      <c r="H10" s="203">
        <v>-0.05</v>
      </c>
      <c r="I10" s="45">
        <f>SUM(F10:H10)</f>
        <v>-66.11999999999999</v>
      </c>
      <c r="J10" s="45">
        <f>+E10-I10</f>
        <v>577.4</v>
      </c>
    </row>
    <row r="11" spans="1:10" s="50" customFormat="1" x14ac:dyDescent="0.2">
      <c r="A11" s="127" t="s">
        <v>222</v>
      </c>
      <c r="B11" s="126" t="s">
        <v>67</v>
      </c>
      <c r="C11" s="202">
        <v>438.24</v>
      </c>
      <c r="D11" s="202">
        <v>73.040000000000006</v>
      </c>
      <c r="E11" s="45">
        <f t="shared" ref="E11:E40" si="0">SUM(C11:D11)</f>
        <v>511.28000000000003</v>
      </c>
      <c r="F11" s="203">
        <v>-66.069999999999993</v>
      </c>
      <c r="G11" s="132">
        <v>0</v>
      </c>
      <c r="H11" s="202">
        <v>0.15</v>
      </c>
      <c r="I11" s="45">
        <f t="shared" ref="I11:I40" si="1">SUM(F11:H11)</f>
        <v>-65.919999999999987</v>
      </c>
      <c r="J11" s="45">
        <f t="shared" ref="J11:J40" si="2">+E11-I11</f>
        <v>577.20000000000005</v>
      </c>
    </row>
    <row r="12" spans="1:10" s="50" customFormat="1" x14ac:dyDescent="0.2">
      <c r="A12" s="127" t="s">
        <v>223</v>
      </c>
      <c r="B12" s="126" t="s">
        <v>68</v>
      </c>
      <c r="C12" s="202">
        <v>438.24</v>
      </c>
      <c r="D12" s="202">
        <v>73.040000000000006</v>
      </c>
      <c r="E12" s="45">
        <f t="shared" si="0"/>
        <v>511.28000000000003</v>
      </c>
      <c r="F12" s="203">
        <v>-66.069999999999993</v>
      </c>
      <c r="G12" s="132">
        <f>+FACTURACIÓN!H11</f>
        <v>134.46</v>
      </c>
      <c r="H12" s="202">
        <v>0.15</v>
      </c>
      <c r="I12" s="45">
        <f t="shared" si="1"/>
        <v>68.54000000000002</v>
      </c>
      <c r="J12" s="45">
        <f t="shared" si="2"/>
        <v>442.74</v>
      </c>
    </row>
    <row r="13" spans="1:10" s="50" customFormat="1" x14ac:dyDescent="0.2">
      <c r="A13" s="127" t="s">
        <v>224</v>
      </c>
      <c r="B13" s="126" t="s">
        <v>216</v>
      </c>
      <c r="C13" s="202">
        <v>438.24</v>
      </c>
      <c r="D13" s="202">
        <v>73.040000000000006</v>
      </c>
      <c r="E13" s="45">
        <f t="shared" si="0"/>
        <v>511.28000000000003</v>
      </c>
      <c r="F13" s="203">
        <v>-66.069999999999993</v>
      </c>
      <c r="G13" s="132">
        <v>0</v>
      </c>
      <c r="H13" s="202">
        <v>0.15</v>
      </c>
      <c r="I13" s="45">
        <f t="shared" si="1"/>
        <v>-65.919999999999987</v>
      </c>
      <c r="J13" s="45">
        <f t="shared" si="2"/>
        <v>577.20000000000005</v>
      </c>
    </row>
    <row r="14" spans="1:10" s="50" customFormat="1" x14ac:dyDescent="0.2">
      <c r="A14" s="127" t="s">
        <v>225</v>
      </c>
      <c r="B14" s="126" t="s">
        <v>69</v>
      </c>
      <c r="C14" s="202">
        <v>438.24</v>
      </c>
      <c r="D14" s="202">
        <v>73.040000000000006</v>
      </c>
      <c r="E14" s="45">
        <f t="shared" si="0"/>
        <v>511.28000000000003</v>
      </c>
      <c r="F14" s="203">
        <v>-66.069999999999993</v>
      </c>
      <c r="G14" s="132">
        <v>0</v>
      </c>
      <c r="H14" s="203">
        <v>-0.05</v>
      </c>
      <c r="I14" s="45">
        <f t="shared" si="1"/>
        <v>-66.11999999999999</v>
      </c>
      <c r="J14" s="45">
        <f t="shared" si="2"/>
        <v>577.4</v>
      </c>
    </row>
    <row r="15" spans="1:10" s="50" customFormat="1" x14ac:dyDescent="0.2">
      <c r="A15" s="127" t="s">
        <v>226</v>
      </c>
      <c r="B15" s="126" t="s">
        <v>70</v>
      </c>
      <c r="C15" s="202">
        <v>438.24</v>
      </c>
      <c r="D15" s="202">
        <v>73.040000000000006</v>
      </c>
      <c r="E15" s="45">
        <f t="shared" si="0"/>
        <v>511.28000000000003</v>
      </c>
      <c r="F15" s="203">
        <v>-66.069999999999993</v>
      </c>
      <c r="G15" s="132">
        <f>+FACTURACIÓN!H14</f>
        <v>127.82</v>
      </c>
      <c r="H15" s="203">
        <v>-0.05</v>
      </c>
      <c r="I15" s="45">
        <f t="shared" si="1"/>
        <v>61.7</v>
      </c>
      <c r="J15" s="45">
        <f t="shared" si="2"/>
        <v>449.58000000000004</v>
      </c>
    </row>
    <row r="16" spans="1:10" s="50" customFormat="1" x14ac:dyDescent="0.2">
      <c r="A16" s="127" t="s">
        <v>227</v>
      </c>
      <c r="B16" s="126" t="s">
        <v>71</v>
      </c>
      <c r="C16" s="202">
        <v>438.24</v>
      </c>
      <c r="D16" s="202">
        <v>73.040000000000006</v>
      </c>
      <c r="E16" s="45">
        <f t="shared" si="0"/>
        <v>511.28000000000003</v>
      </c>
      <c r="F16" s="203">
        <v>-66.069999999999993</v>
      </c>
      <c r="G16" s="132">
        <v>0</v>
      </c>
      <c r="H16" s="203">
        <v>-0.05</v>
      </c>
      <c r="I16" s="45">
        <f t="shared" si="1"/>
        <v>-66.11999999999999</v>
      </c>
      <c r="J16" s="45">
        <f t="shared" si="2"/>
        <v>577.4</v>
      </c>
    </row>
    <row r="17" spans="1:10" s="50" customFormat="1" x14ac:dyDescent="0.2">
      <c r="A17" s="200" t="s">
        <v>292</v>
      </c>
      <c r="B17" s="199" t="s">
        <v>294</v>
      </c>
      <c r="C17" s="202">
        <v>409.68</v>
      </c>
      <c r="D17" s="202">
        <v>68.28</v>
      </c>
      <c r="E17" s="45">
        <f t="shared" si="0"/>
        <v>477.96000000000004</v>
      </c>
      <c r="F17" s="203">
        <v>-68.209999999999994</v>
      </c>
      <c r="G17" s="132">
        <v>0</v>
      </c>
      <c r="H17" s="203">
        <v>-0.03</v>
      </c>
      <c r="I17" s="45">
        <f t="shared" si="1"/>
        <v>-68.239999999999995</v>
      </c>
      <c r="J17" s="45">
        <f t="shared" si="2"/>
        <v>546.20000000000005</v>
      </c>
    </row>
    <row r="18" spans="1:10" s="50" customFormat="1" x14ac:dyDescent="0.2">
      <c r="A18" s="127" t="s">
        <v>228</v>
      </c>
      <c r="B18" s="126" t="s">
        <v>73</v>
      </c>
      <c r="C18" s="202">
        <v>438.24</v>
      </c>
      <c r="D18" s="202">
        <v>73.040000000000006</v>
      </c>
      <c r="E18" s="45">
        <f t="shared" si="0"/>
        <v>511.28000000000003</v>
      </c>
      <c r="F18" s="203">
        <v>-66.069999999999993</v>
      </c>
      <c r="G18" s="132">
        <v>0</v>
      </c>
      <c r="H18" s="202">
        <v>0.15</v>
      </c>
      <c r="I18" s="45">
        <f t="shared" si="1"/>
        <v>-65.919999999999987</v>
      </c>
      <c r="J18" s="45">
        <f t="shared" si="2"/>
        <v>577.20000000000005</v>
      </c>
    </row>
    <row r="19" spans="1:10" s="50" customFormat="1" x14ac:dyDescent="0.2">
      <c r="A19" s="127" t="s">
        <v>229</v>
      </c>
      <c r="B19" s="126" t="s">
        <v>74</v>
      </c>
      <c r="C19" s="202">
        <v>438.24</v>
      </c>
      <c r="D19" s="202">
        <v>73.040000000000006</v>
      </c>
      <c r="E19" s="45">
        <f t="shared" si="0"/>
        <v>511.28000000000003</v>
      </c>
      <c r="F19" s="203">
        <v>-66.069999999999993</v>
      </c>
      <c r="G19" s="132">
        <v>0</v>
      </c>
      <c r="H19" s="203">
        <v>-0.05</v>
      </c>
      <c r="I19" s="45">
        <f t="shared" si="1"/>
        <v>-66.11999999999999</v>
      </c>
      <c r="J19" s="45">
        <f t="shared" si="2"/>
        <v>577.4</v>
      </c>
    </row>
    <row r="20" spans="1:10" s="50" customFormat="1" x14ac:dyDescent="0.2">
      <c r="A20" s="127" t="s">
        <v>230</v>
      </c>
      <c r="B20" s="126" t="s">
        <v>75</v>
      </c>
      <c r="C20" s="202">
        <v>438.24</v>
      </c>
      <c r="D20" s="202">
        <v>73.040000000000006</v>
      </c>
      <c r="E20" s="45">
        <f t="shared" si="0"/>
        <v>511.28000000000003</v>
      </c>
      <c r="F20" s="203">
        <v>-66.069999999999993</v>
      </c>
      <c r="G20" s="132">
        <v>0</v>
      </c>
      <c r="H20" s="203">
        <v>-0.05</v>
      </c>
      <c r="I20" s="45">
        <f t="shared" si="1"/>
        <v>-66.11999999999999</v>
      </c>
      <c r="J20" s="45">
        <f t="shared" si="2"/>
        <v>577.4</v>
      </c>
    </row>
    <row r="21" spans="1:10" s="50" customFormat="1" x14ac:dyDescent="0.2">
      <c r="A21" s="127" t="s">
        <v>230</v>
      </c>
      <c r="B21" s="126" t="s">
        <v>217</v>
      </c>
      <c r="C21" s="202">
        <v>438.24</v>
      </c>
      <c r="D21" s="202">
        <v>73.040000000000006</v>
      </c>
      <c r="E21" s="45">
        <f t="shared" si="0"/>
        <v>511.28000000000003</v>
      </c>
      <c r="F21" s="203">
        <v>-66.069999999999993</v>
      </c>
      <c r="G21" s="132">
        <v>0</v>
      </c>
      <c r="H21" s="202">
        <v>0.15</v>
      </c>
      <c r="I21" s="45">
        <f t="shared" si="1"/>
        <v>-65.919999999999987</v>
      </c>
      <c r="J21" s="45">
        <f t="shared" si="2"/>
        <v>577.20000000000005</v>
      </c>
    </row>
    <row r="22" spans="1:10" s="50" customFormat="1" x14ac:dyDescent="0.2">
      <c r="A22" s="200" t="s">
        <v>293</v>
      </c>
      <c r="B22" s="199" t="s">
        <v>295</v>
      </c>
      <c r="C22" s="202">
        <v>438.24</v>
      </c>
      <c r="D22" s="202">
        <v>73.040000000000006</v>
      </c>
      <c r="E22" s="45">
        <f t="shared" si="0"/>
        <v>511.28000000000003</v>
      </c>
      <c r="F22" s="203">
        <v>-66.069999999999993</v>
      </c>
      <c r="G22" s="132">
        <v>0</v>
      </c>
      <c r="H22" s="203">
        <v>-0.05</v>
      </c>
      <c r="I22" s="45">
        <f t="shared" si="1"/>
        <v>-66.11999999999999</v>
      </c>
      <c r="J22" s="45">
        <f t="shared" si="2"/>
        <v>577.4</v>
      </c>
    </row>
    <row r="23" spans="1:10" s="50" customFormat="1" x14ac:dyDescent="0.2">
      <c r="A23" s="127" t="s">
        <v>231</v>
      </c>
      <c r="B23" s="126" t="s">
        <v>77</v>
      </c>
      <c r="C23" s="202">
        <v>438.24</v>
      </c>
      <c r="D23" s="202">
        <v>73.040000000000006</v>
      </c>
      <c r="E23" s="45">
        <f t="shared" si="0"/>
        <v>511.28000000000003</v>
      </c>
      <c r="F23" s="203">
        <v>-66.069999999999993</v>
      </c>
      <c r="G23" s="132">
        <v>0</v>
      </c>
      <c r="H23" s="203">
        <v>-0.05</v>
      </c>
      <c r="I23" s="45">
        <f t="shared" si="1"/>
        <v>-66.11999999999999</v>
      </c>
      <c r="J23" s="45">
        <f t="shared" si="2"/>
        <v>577.4</v>
      </c>
    </row>
    <row r="24" spans="1:10" s="50" customFormat="1" x14ac:dyDescent="0.2">
      <c r="A24" s="127" t="s">
        <v>232</v>
      </c>
      <c r="B24" s="126" t="s">
        <v>78</v>
      </c>
      <c r="C24" s="202">
        <v>438.24</v>
      </c>
      <c r="D24" s="202">
        <v>73.040000000000006</v>
      </c>
      <c r="E24" s="45">
        <f t="shared" si="0"/>
        <v>511.28000000000003</v>
      </c>
      <c r="F24" s="203">
        <v>-66.069999999999993</v>
      </c>
      <c r="G24" s="132">
        <v>0</v>
      </c>
      <c r="H24" s="203">
        <v>-0.05</v>
      </c>
      <c r="I24" s="45">
        <f t="shared" si="1"/>
        <v>-66.11999999999999</v>
      </c>
      <c r="J24" s="45">
        <f t="shared" si="2"/>
        <v>577.4</v>
      </c>
    </row>
    <row r="25" spans="1:10" s="50" customFormat="1" x14ac:dyDescent="0.2">
      <c r="A25" s="127" t="s">
        <v>233</v>
      </c>
      <c r="B25" s="126" t="s">
        <v>79</v>
      </c>
      <c r="C25" s="202">
        <v>438.24</v>
      </c>
      <c r="D25" s="202">
        <v>73.040000000000006</v>
      </c>
      <c r="E25" s="45">
        <f t="shared" si="0"/>
        <v>511.28000000000003</v>
      </c>
      <c r="F25" s="203">
        <v>-66.069999999999993</v>
      </c>
      <c r="G25" s="132">
        <v>0</v>
      </c>
      <c r="H25" s="203">
        <v>-0.05</v>
      </c>
      <c r="I25" s="45">
        <f t="shared" si="1"/>
        <v>-66.11999999999999</v>
      </c>
      <c r="J25" s="45">
        <f t="shared" si="2"/>
        <v>577.4</v>
      </c>
    </row>
    <row r="26" spans="1:10" s="50" customFormat="1" x14ac:dyDescent="0.2">
      <c r="A26" s="127" t="s">
        <v>234</v>
      </c>
      <c r="B26" s="126" t="s">
        <v>80</v>
      </c>
      <c r="C26" s="202">
        <v>438.24</v>
      </c>
      <c r="D26" s="202">
        <v>73.040000000000006</v>
      </c>
      <c r="E26" s="45">
        <f t="shared" si="0"/>
        <v>511.28000000000003</v>
      </c>
      <c r="F26" s="203">
        <v>-66.069999999999993</v>
      </c>
      <c r="G26" s="132">
        <v>0</v>
      </c>
      <c r="H26" s="203">
        <v>-0.05</v>
      </c>
      <c r="I26" s="45">
        <f t="shared" si="1"/>
        <v>-66.11999999999999</v>
      </c>
      <c r="J26" s="45">
        <f t="shared" si="2"/>
        <v>577.4</v>
      </c>
    </row>
    <row r="27" spans="1:10" s="50" customFormat="1" x14ac:dyDescent="0.2">
      <c r="A27" s="127" t="s">
        <v>235</v>
      </c>
      <c r="B27" s="126" t="s">
        <v>81</v>
      </c>
      <c r="C27" s="202">
        <v>438.24</v>
      </c>
      <c r="D27" s="202">
        <v>73.040000000000006</v>
      </c>
      <c r="E27" s="45">
        <f t="shared" si="0"/>
        <v>511.28000000000003</v>
      </c>
      <c r="F27" s="203">
        <v>-66.069999999999993</v>
      </c>
      <c r="G27" s="132">
        <v>115.26</v>
      </c>
      <c r="H27" s="203">
        <v>-0.05</v>
      </c>
      <c r="I27" s="45">
        <f t="shared" si="1"/>
        <v>49.140000000000015</v>
      </c>
      <c r="J27" s="45">
        <f t="shared" si="2"/>
        <v>462.14</v>
      </c>
    </row>
    <row r="28" spans="1:10" s="50" customFormat="1" x14ac:dyDescent="0.2">
      <c r="A28" s="127" t="s">
        <v>236</v>
      </c>
      <c r="B28" s="126" t="s">
        <v>83</v>
      </c>
      <c r="C28" s="202">
        <v>438.24</v>
      </c>
      <c r="D28" s="202">
        <v>73.040000000000006</v>
      </c>
      <c r="E28" s="45">
        <f t="shared" si="0"/>
        <v>511.28000000000003</v>
      </c>
      <c r="F28" s="203">
        <v>-66.069999999999993</v>
      </c>
      <c r="G28" s="132">
        <v>0</v>
      </c>
      <c r="H28" s="203">
        <v>-0.05</v>
      </c>
      <c r="I28" s="45">
        <f t="shared" si="1"/>
        <v>-66.11999999999999</v>
      </c>
      <c r="J28" s="45">
        <f t="shared" si="2"/>
        <v>577.4</v>
      </c>
    </row>
    <row r="29" spans="1:10" s="50" customFormat="1" x14ac:dyDescent="0.2">
      <c r="A29" s="127" t="s">
        <v>237</v>
      </c>
      <c r="B29" s="126" t="s">
        <v>85</v>
      </c>
      <c r="C29" s="202">
        <v>438.24</v>
      </c>
      <c r="D29" s="202">
        <v>73.040000000000006</v>
      </c>
      <c r="E29" s="45">
        <f t="shared" si="0"/>
        <v>511.28000000000003</v>
      </c>
      <c r="F29" s="203">
        <v>-66.069999999999993</v>
      </c>
      <c r="G29" s="132">
        <v>0</v>
      </c>
      <c r="H29" s="203">
        <v>-0.05</v>
      </c>
      <c r="I29" s="45">
        <f t="shared" si="1"/>
        <v>-66.11999999999999</v>
      </c>
      <c r="J29" s="45">
        <f t="shared" si="2"/>
        <v>577.4</v>
      </c>
    </row>
    <row r="30" spans="1:10" s="50" customFormat="1" x14ac:dyDescent="0.2">
      <c r="A30" s="127" t="s">
        <v>238</v>
      </c>
      <c r="B30" s="126" t="s">
        <v>86</v>
      </c>
      <c r="C30" s="202">
        <v>438.24</v>
      </c>
      <c r="D30" s="202">
        <v>73.040000000000006</v>
      </c>
      <c r="E30" s="45">
        <f t="shared" si="0"/>
        <v>511.28000000000003</v>
      </c>
      <c r="F30" s="203">
        <v>-66.069999999999993</v>
      </c>
      <c r="G30" s="132">
        <v>0</v>
      </c>
      <c r="H30" s="203">
        <v>-0.05</v>
      </c>
      <c r="I30" s="45">
        <f t="shared" si="1"/>
        <v>-66.11999999999999</v>
      </c>
      <c r="J30" s="45">
        <f t="shared" si="2"/>
        <v>577.4</v>
      </c>
    </row>
    <row r="31" spans="1:10" s="50" customFormat="1" x14ac:dyDescent="0.2">
      <c r="A31" s="127" t="s">
        <v>239</v>
      </c>
      <c r="B31" s="126" t="s">
        <v>88</v>
      </c>
      <c r="C31" s="202">
        <v>438.24</v>
      </c>
      <c r="D31" s="202">
        <v>73.040000000000006</v>
      </c>
      <c r="E31" s="45">
        <f t="shared" si="0"/>
        <v>511.28000000000003</v>
      </c>
      <c r="F31" s="203">
        <v>-66.069999999999993</v>
      </c>
      <c r="G31" s="132">
        <v>0</v>
      </c>
      <c r="H31" s="203">
        <v>-0.05</v>
      </c>
      <c r="I31" s="45">
        <f t="shared" si="1"/>
        <v>-66.11999999999999</v>
      </c>
      <c r="J31" s="45">
        <f t="shared" si="2"/>
        <v>577.4</v>
      </c>
    </row>
    <row r="32" spans="1:10" s="50" customFormat="1" x14ac:dyDescent="0.2">
      <c r="A32" s="127" t="s">
        <v>240</v>
      </c>
      <c r="B32" s="126" t="s">
        <v>89</v>
      </c>
      <c r="C32" s="202">
        <v>438.24</v>
      </c>
      <c r="D32" s="202">
        <v>73.040000000000006</v>
      </c>
      <c r="E32" s="45">
        <f t="shared" si="0"/>
        <v>511.28000000000003</v>
      </c>
      <c r="F32" s="203">
        <v>-66.069999999999993</v>
      </c>
      <c r="G32" s="132">
        <v>0</v>
      </c>
      <c r="H32" s="203">
        <v>-0.05</v>
      </c>
      <c r="I32" s="45">
        <f t="shared" si="1"/>
        <v>-66.11999999999999</v>
      </c>
      <c r="J32" s="45">
        <f t="shared" si="2"/>
        <v>577.4</v>
      </c>
    </row>
    <row r="33" spans="1:11" s="50" customFormat="1" x14ac:dyDescent="0.2">
      <c r="A33" s="200" t="s">
        <v>296</v>
      </c>
      <c r="B33" s="199" t="s">
        <v>297</v>
      </c>
      <c r="C33" s="202">
        <v>438.24</v>
      </c>
      <c r="D33" s="202">
        <v>73.040000000000006</v>
      </c>
      <c r="E33" s="45">
        <f t="shared" si="0"/>
        <v>511.28000000000003</v>
      </c>
      <c r="F33" s="203">
        <v>-66.069999999999993</v>
      </c>
      <c r="G33" s="132">
        <v>0</v>
      </c>
      <c r="H33" s="203">
        <v>-0.05</v>
      </c>
      <c r="I33" s="45">
        <f t="shared" si="1"/>
        <v>-66.11999999999999</v>
      </c>
      <c r="J33" s="45">
        <f t="shared" si="2"/>
        <v>577.4</v>
      </c>
    </row>
    <row r="34" spans="1:11" s="50" customFormat="1" x14ac:dyDescent="0.2">
      <c r="A34" s="127" t="s">
        <v>241</v>
      </c>
      <c r="B34" s="126" t="s">
        <v>90</v>
      </c>
      <c r="C34" s="202">
        <v>438.24</v>
      </c>
      <c r="D34" s="202">
        <v>73.040000000000006</v>
      </c>
      <c r="E34" s="45">
        <f t="shared" si="0"/>
        <v>511.28000000000003</v>
      </c>
      <c r="F34" s="203">
        <v>-66.069999999999993</v>
      </c>
      <c r="G34" s="132">
        <v>0</v>
      </c>
      <c r="H34" s="203">
        <v>-0.05</v>
      </c>
      <c r="I34" s="45">
        <f t="shared" si="1"/>
        <v>-66.11999999999999</v>
      </c>
      <c r="J34" s="45">
        <f t="shared" si="2"/>
        <v>577.4</v>
      </c>
    </row>
    <row r="35" spans="1:11" s="50" customFormat="1" x14ac:dyDescent="0.2">
      <c r="A35" s="127" t="s">
        <v>242</v>
      </c>
      <c r="B35" s="126" t="s">
        <v>91</v>
      </c>
      <c r="C35" s="202">
        <v>438.24</v>
      </c>
      <c r="D35" s="202">
        <v>73.040000000000006</v>
      </c>
      <c r="E35" s="45">
        <f t="shared" si="0"/>
        <v>511.28000000000003</v>
      </c>
      <c r="F35" s="203">
        <v>-66.069999999999993</v>
      </c>
      <c r="G35" s="132">
        <v>0</v>
      </c>
      <c r="H35" s="203">
        <v>-0.05</v>
      </c>
      <c r="I35" s="45">
        <f t="shared" si="1"/>
        <v>-66.11999999999999</v>
      </c>
      <c r="J35" s="45">
        <f t="shared" si="2"/>
        <v>577.4</v>
      </c>
    </row>
    <row r="36" spans="1:11" s="50" customFormat="1" x14ac:dyDescent="0.2">
      <c r="A36" s="127" t="s">
        <v>243</v>
      </c>
      <c r="B36" s="126" t="s">
        <v>93</v>
      </c>
      <c r="C36" s="202">
        <v>438.24</v>
      </c>
      <c r="D36" s="202">
        <v>73.040000000000006</v>
      </c>
      <c r="E36" s="45">
        <f t="shared" si="0"/>
        <v>511.28000000000003</v>
      </c>
      <c r="F36" s="203">
        <v>-66.069999999999993</v>
      </c>
      <c r="G36" s="132">
        <v>0</v>
      </c>
      <c r="H36" s="203">
        <v>-0.05</v>
      </c>
      <c r="I36" s="45">
        <f t="shared" si="1"/>
        <v>-66.11999999999999</v>
      </c>
      <c r="J36" s="45">
        <f t="shared" si="2"/>
        <v>577.4</v>
      </c>
    </row>
    <row r="37" spans="1:11" s="50" customFormat="1" x14ac:dyDescent="0.2">
      <c r="A37" s="127" t="s">
        <v>244</v>
      </c>
      <c r="B37" s="126" t="s">
        <v>95</v>
      </c>
      <c r="C37" s="202">
        <v>438.24</v>
      </c>
      <c r="D37" s="202">
        <v>73.040000000000006</v>
      </c>
      <c r="E37" s="45">
        <f t="shared" si="0"/>
        <v>511.28000000000003</v>
      </c>
      <c r="F37" s="203">
        <v>-66.069999999999993</v>
      </c>
      <c r="G37" s="132">
        <v>134.35</v>
      </c>
      <c r="H37" s="202">
        <v>0.15</v>
      </c>
      <c r="I37" s="45">
        <f t="shared" si="1"/>
        <v>68.430000000000007</v>
      </c>
      <c r="J37" s="45">
        <f t="shared" si="2"/>
        <v>442.85</v>
      </c>
    </row>
    <row r="38" spans="1:11" s="50" customFormat="1" x14ac:dyDescent="0.2">
      <c r="A38" s="127" t="s">
        <v>245</v>
      </c>
      <c r="B38" s="126" t="s">
        <v>96</v>
      </c>
      <c r="C38" s="202">
        <v>0</v>
      </c>
      <c r="D38" s="202">
        <v>0</v>
      </c>
      <c r="E38" s="45">
        <v>0</v>
      </c>
      <c r="F38" s="203">
        <v>0</v>
      </c>
      <c r="G38" s="132">
        <v>0</v>
      </c>
      <c r="H38" s="203">
        <v>0</v>
      </c>
      <c r="I38" s="45">
        <v>0</v>
      </c>
      <c r="J38" s="45">
        <f t="shared" si="2"/>
        <v>0</v>
      </c>
      <c r="K38" s="50" t="s">
        <v>300</v>
      </c>
    </row>
    <row r="39" spans="1:11" s="53" customFormat="1" x14ac:dyDescent="0.2">
      <c r="A39" s="127" t="s">
        <v>246</v>
      </c>
      <c r="B39" s="126" t="s">
        <v>218</v>
      </c>
      <c r="C39" s="202">
        <v>438.24</v>
      </c>
      <c r="D39" s="202">
        <v>73.040000000000006</v>
      </c>
      <c r="E39" s="45">
        <f t="shared" si="0"/>
        <v>511.28000000000003</v>
      </c>
      <c r="F39" s="203">
        <v>-66.069999999999993</v>
      </c>
      <c r="G39" s="132">
        <v>0</v>
      </c>
      <c r="H39" s="202">
        <v>0.15</v>
      </c>
      <c r="I39" s="45">
        <f t="shared" si="1"/>
        <v>-65.919999999999987</v>
      </c>
      <c r="J39" s="45">
        <f t="shared" si="2"/>
        <v>577.20000000000005</v>
      </c>
    </row>
    <row r="40" spans="1:11" s="1" customFormat="1" ht="14.25" x14ac:dyDescent="0.2">
      <c r="A40" s="127" t="s">
        <v>247</v>
      </c>
      <c r="B40" s="126" t="s">
        <v>97</v>
      </c>
      <c r="C40" s="202">
        <v>438.24</v>
      </c>
      <c r="D40" s="202">
        <v>73.040000000000006</v>
      </c>
      <c r="E40" s="45">
        <f t="shared" si="0"/>
        <v>511.28000000000003</v>
      </c>
      <c r="F40" s="203">
        <v>-66.069999999999993</v>
      </c>
      <c r="G40" s="132">
        <v>0</v>
      </c>
      <c r="H40" s="203">
        <v>-0.05</v>
      </c>
      <c r="I40" s="45">
        <f t="shared" si="1"/>
        <v>-66.11999999999999</v>
      </c>
      <c r="J40" s="45">
        <f t="shared" si="2"/>
        <v>577.4</v>
      </c>
    </row>
    <row r="41" spans="1:11" x14ac:dyDescent="0.2">
      <c r="A41" s="49"/>
      <c r="B41" s="50"/>
      <c r="C41" s="129" t="s">
        <v>15</v>
      </c>
      <c r="D41" s="129" t="s">
        <v>15</v>
      </c>
      <c r="E41" s="129" t="s">
        <v>15</v>
      </c>
      <c r="F41" s="129" t="s">
        <v>15</v>
      </c>
      <c r="G41" s="129" t="s">
        <v>15</v>
      </c>
      <c r="H41" s="129" t="s">
        <v>15</v>
      </c>
      <c r="I41" s="129" t="s">
        <v>15</v>
      </c>
      <c r="J41" s="129" t="s">
        <v>15</v>
      </c>
    </row>
    <row r="42" spans="1:11" x14ac:dyDescent="0.2">
      <c r="A42" s="49"/>
      <c r="B42" s="50"/>
      <c r="C42" s="131">
        <f t="shared" ref="C42:J42" si="3">SUM(C10:C41)</f>
        <v>13118.639999999996</v>
      </c>
      <c r="D42" s="131">
        <f t="shared" si="3"/>
        <v>2186.4399999999996</v>
      </c>
      <c r="E42" s="131">
        <f t="shared" si="3"/>
        <v>15305.080000000007</v>
      </c>
      <c r="F42" s="131">
        <f t="shared" si="3"/>
        <v>-1984.2399999999986</v>
      </c>
      <c r="G42" s="131">
        <f t="shared" si="3"/>
        <v>511.89</v>
      </c>
      <c r="H42" s="131">
        <f t="shared" si="3"/>
        <v>-7.9999999999999918E-2</v>
      </c>
      <c r="I42" s="131">
        <f t="shared" si="3"/>
        <v>-1472.4299999999992</v>
      </c>
      <c r="J42" s="131">
        <f t="shared" si="3"/>
        <v>16777.509999999995</v>
      </c>
    </row>
    <row r="43" spans="1:11" x14ac:dyDescent="0.2">
      <c r="A43" s="3" t="s">
        <v>17</v>
      </c>
      <c r="B43" s="2" t="s">
        <v>17</v>
      </c>
      <c r="C43" s="9"/>
      <c r="D43" s="39"/>
      <c r="E43" s="9"/>
      <c r="F43" s="9"/>
      <c r="G43" s="130"/>
      <c r="H43" s="9"/>
      <c r="I43" s="9"/>
      <c r="J43" s="204"/>
    </row>
  </sheetData>
  <mergeCells count="2">
    <mergeCell ref="B1:C1"/>
    <mergeCell ref="B4:D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47"/>
  <sheetViews>
    <sheetView workbookViewId="0">
      <pane xSplit="2" ySplit="9" topLeftCell="C28" activePane="bottomRight" state="frozen"/>
      <selection activeCell="B4" sqref="B4"/>
      <selection pane="topRight" activeCell="B4" sqref="B4"/>
      <selection pane="bottomLeft" activeCell="B4" sqref="B4"/>
      <selection pane="bottomRight" activeCell="C37" sqref="C37"/>
    </sheetView>
  </sheetViews>
  <sheetFormatPr baseColWidth="10" defaultRowHeight="11.25" x14ac:dyDescent="0.2"/>
  <cols>
    <col min="1" max="1" width="12.28515625" style="3" customWidth="1"/>
    <col min="2" max="2" width="30.7109375" style="2" customWidth="1"/>
    <col min="3" max="3" width="13" style="2" bestFit="1" customWidth="1"/>
    <col min="4" max="4" width="13.5703125" style="2" bestFit="1" customWidth="1"/>
    <col min="5" max="5" width="13" style="2" bestFit="1" customWidth="1"/>
    <col min="6" max="6" width="11" style="2" customWidth="1"/>
    <col min="7" max="7" width="10.85546875" style="2" customWidth="1"/>
    <col min="8" max="9" width="13" style="2" bestFit="1" customWidth="1"/>
    <col min="10" max="10" width="13" style="34" customWidth="1"/>
    <col min="11" max="11" width="13" style="2" bestFit="1" customWidth="1"/>
    <col min="12" max="12" width="12.7109375" style="2" customWidth="1"/>
    <col min="13" max="16384" width="11.42578125" style="2"/>
  </cols>
  <sheetData>
    <row r="1" spans="1:12" ht="18" customHeight="1" x14ac:dyDescent="0.25">
      <c r="A1" s="4" t="s">
        <v>0</v>
      </c>
      <c r="B1" s="226" t="s">
        <v>17</v>
      </c>
      <c r="C1" s="231"/>
      <c r="I1" s="44"/>
      <c r="J1" s="44"/>
    </row>
    <row r="2" spans="1:12" ht="24.95" customHeight="1" x14ac:dyDescent="0.2">
      <c r="A2" s="5" t="s">
        <v>1</v>
      </c>
      <c r="B2" s="69" t="s">
        <v>2</v>
      </c>
      <c r="C2" s="11"/>
      <c r="D2" s="32"/>
      <c r="I2" s="44"/>
      <c r="J2" s="44"/>
    </row>
    <row r="3" spans="1:12" ht="15.75" x14ac:dyDescent="0.25">
      <c r="B3" s="68" t="s">
        <v>3</v>
      </c>
      <c r="C3" s="48"/>
      <c r="D3" s="32"/>
    </row>
    <row r="4" spans="1:12" ht="15" x14ac:dyDescent="0.25">
      <c r="B4" s="150" t="str">
        <f>+FACTURACIÓN!B4</f>
        <v>Periodo 8 al 8 Semanal del 17/02/2016 al 23/02/2016</v>
      </c>
      <c r="C4" s="48"/>
      <c r="D4" s="32"/>
    </row>
    <row r="5" spans="1:12" x14ac:dyDescent="0.2">
      <c r="B5" s="201" t="s">
        <v>298</v>
      </c>
      <c r="C5" s="47"/>
      <c r="D5" s="47"/>
    </row>
    <row r="6" spans="1:12" ht="23.25" thickBot="1" x14ac:dyDescent="0.25">
      <c r="B6" s="67" t="s">
        <v>5</v>
      </c>
      <c r="C6" s="47"/>
      <c r="D6" s="47"/>
      <c r="F6" s="19" t="s">
        <v>31</v>
      </c>
      <c r="G6" s="19" t="s">
        <v>164</v>
      </c>
      <c r="H6" s="19" t="s">
        <v>21</v>
      </c>
      <c r="I6" s="19" t="s">
        <v>291</v>
      </c>
    </row>
    <row r="7" spans="1:12" ht="12" thickTop="1" x14ac:dyDescent="0.2"/>
    <row r="8" spans="1:12" s="6" customFormat="1" ht="34.5" thickBot="1" x14ac:dyDescent="0.25">
      <c r="A8" s="7" t="s">
        <v>6</v>
      </c>
      <c r="B8" s="8" t="s">
        <v>7</v>
      </c>
      <c r="C8" s="13" t="s">
        <v>28</v>
      </c>
      <c r="D8" s="13" t="s">
        <v>29</v>
      </c>
      <c r="E8" s="12" t="s">
        <v>9</v>
      </c>
      <c r="F8" s="13" t="s">
        <v>31</v>
      </c>
      <c r="G8" s="13" t="s">
        <v>164</v>
      </c>
      <c r="H8" s="13" t="s">
        <v>21</v>
      </c>
      <c r="I8" s="13" t="s">
        <v>291</v>
      </c>
      <c r="J8" s="13" t="s">
        <v>11</v>
      </c>
      <c r="K8" s="12" t="s">
        <v>12</v>
      </c>
      <c r="L8" s="28" t="s">
        <v>13</v>
      </c>
    </row>
    <row r="9" spans="1:12" s="50" customFormat="1" ht="12" thickTop="1" x14ac:dyDescent="0.2">
      <c r="A9" s="58" t="s">
        <v>14</v>
      </c>
    </row>
    <row r="10" spans="1:12" s="50" customFormat="1" x14ac:dyDescent="0.2">
      <c r="A10" s="127" t="s">
        <v>221</v>
      </c>
      <c r="B10" s="126" t="s">
        <v>66</v>
      </c>
      <c r="C10" s="51">
        <f>+FACTURACIÓN!C9+FACTURACIÓN!D9+FACTURACIÓN!E9-'C&amp;A'!J10-'C&amp;A'!G10</f>
        <v>4107.3</v>
      </c>
      <c r="D10" s="51">
        <v>0</v>
      </c>
      <c r="E10" s="45">
        <f>SUM(C10:D10)</f>
        <v>4107.3</v>
      </c>
      <c r="F10" s="51">
        <f>+FACTURACIÓN!F9</f>
        <v>0</v>
      </c>
      <c r="G10" s="51">
        <f>+FACTURACIÓN!G9</f>
        <v>0</v>
      </c>
      <c r="H10" s="51">
        <f>+FACTURACIÓN!H9</f>
        <v>0</v>
      </c>
      <c r="I10" s="51">
        <f>+FACTURACIÓN!I9</f>
        <v>468.47</v>
      </c>
      <c r="J10" s="51">
        <v>0</v>
      </c>
      <c r="K10" s="51">
        <f>SUM(F10:J10)</f>
        <v>468.47</v>
      </c>
      <c r="L10" s="59">
        <f>+E10-K10</f>
        <v>3638.83</v>
      </c>
    </row>
    <row r="11" spans="1:12" s="50" customFormat="1" x14ac:dyDescent="0.2">
      <c r="A11" s="127" t="s">
        <v>222</v>
      </c>
      <c r="B11" s="126" t="s">
        <v>67</v>
      </c>
      <c r="C11" s="51">
        <f>+FACTURACIÓN!C10+FACTURACIÓN!D10+FACTURACIÓN!E10-'C&amp;A'!J11-'C&amp;A'!G11</f>
        <v>1170.1799999999998</v>
      </c>
      <c r="D11" s="51">
        <v>0</v>
      </c>
      <c r="E11" s="45">
        <f t="shared" ref="E11:E40" si="0">SUM(C11:D11)</f>
        <v>1170.1799999999998</v>
      </c>
      <c r="F11" s="51">
        <f>+FACTURACIÓN!F10</f>
        <v>0</v>
      </c>
      <c r="G11" s="51">
        <f>+FACTURACIÓN!G10</f>
        <v>0</v>
      </c>
      <c r="H11" s="51">
        <f>+FACTURACIÓN!H10</f>
        <v>0</v>
      </c>
      <c r="I11" s="51">
        <f>+FACTURACIÓN!I10</f>
        <v>0</v>
      </c>
      <c r="J11" s="51">
        <v>0</v>
      </c>
      <c r="K11" s="51">
        <f t="shared" ref="K11:K40" si="1">SUM(F11:J11)</f>
        <v>0</v>
      </c>
      <c r="L11" s="59">
        <f t="shared" ref="L11:L40" si="2">+E11-K11</f>
        <v>1170.1799999999998</v>
      </c>
    </row>
    <row r="12" spans="1:12" s="50" customFormat="1" x14ac:dyDescent="0.2">
      <c r="A12" s="127" t="s">
        <v>223</v>
      </c>
      <c r="B12" s="126" t="s">
        <v>68</v>
      </c>
      <c r="C12" s="51">
        <f>+FACTURACIÓN!C11+FACTURACIÓN!D11+FACTURACIÓN!E11-'C&amp;A'!J12-'C&amp;A'!G12</f>
        <v>50.729999999999933</v>
      </c>
      <c r="D12" s="51">
        <v>0</v>
      </c>
      <c r="E12" s="45">
        <f t="shared" si="0"/>
        <v>50.729999999999933</v>
      </c>
      <c r="F12" s="51">
        <f>+FACTURACIÓN!F11</f>
        <v>0</v>
      </c>
      <c r="G12" s="51">
        <f>+FACTURACIÓN!G11</f>
        <v>0</v>
      </c>
      <c r="H12" s="51">
        <v>0</v>
      </c>
      <c r="I12" s="51">
        <f>+FACTURACIÓN!I11</f>
        <v>0</v>
      </c>
      <c r="J12" s="51">
        <v>0</v>
      </c>
      <c r="K12" s="51">
        <f t="shared" si="1"/>
        <v>0</v>
      </c>
      <c r="L12" s="59">
        <f t="shared" si="2"/>
        <v>50.729999999999933</v>
      </c>
    </row>
    <row r="13" spans="1:12" s="50" customFormat="1" x14ac:dyDescent="0.2">
      <c r="A13" s="127" t="s">
        <v>224</v>
      </c>
      <c r="B13" s="126" t="s">
        <v>216</v>
      </c>
      <c r="C13" s="51">
        <f>+FACTURACIÓN!C12+FACTURACIÓN!D12+FACTURACIÓN!E12-'C&amp;A'!J13-'C&amp;A'!G13</f>
        <v>122.79999999999995</v>
      </c>
      <c r="D13" s="51">
        <v>0</v>
      </c>
      <c r="E13" s="45">
        <f t="shared" si="0"/>
        <v>122.79999999999995</v>
      </c>
      <c r="F13" s="51">
        <f>+FACTURACIÓN!F12</f>
        <v>0</v>
      </c>
      <c r="G13" s="51">
        <f>+FACTURACIÓN!G12</f>
        <v>0</v>
      </c>
      <c r="H13" s="51">
        <f>+FACTURACIÓN!H12</f>
        <v>0</v>
      </c>
      <c r="I13" s="51">
        <f>+FACTURACIÓN!I12</f>
        <v>0</v>
      </c>
      <c r="J13" s="51">
        <v>0</v>
      </c>
      <c r="K13" s="51">
        <f t="shared" si="1"/>
        <v>0</v>
      </c>
      <c r="L13" s="59">
        <f t="shared" si="2"/>
        <v>122.79999999999995</v>
      </c>
    </row>
    <row r="14" spans="1:12" s="50" customFormat="1" x14ac:dyDescent="0.2">
      <c r="A14" s="127" t="s">
        <v>225</v>
      </c>
      <c r="B14" s="126" t="s">
        <v>69</v>
      </c>
      <c r="C14" s="51">
        <f>+FACTURACIÓN!C13+FACTURACIÓN!D13+FACTURACIÓN!E13-'C&amp;A'!J14-'C&amp;A'!G14</f>
        <v>1172.5999999999999</v>
      </c>
      <c r="D14" s="51">
        <v>0</v>
      </c>
      <c r="E14" s="45">
        <f t="shared" si="0"/>
        <v>1172.5999999999999</v>
      </c>
      <c r="F14" s="51">
        <f>+FACTURACIÓN!F13</f>
        <v>0</v>
      </c>
      <c r="G14" s="51">
        <f>+FACTURACIÓN!G13</f>
        <v>0</v>
      </c>
      <c r="H14" s="51">
        <f>+FACTURACIÓN!H13</f>
        <v>0</v>
      </c>
      <c r="I14" s="51">
        <f>+FACTURACIÓN!I13</f>
        <v>0</v>
      </c>
      <c r="J14" s="51">
        <v>0</v>
      </c>
      <c r="K14" s="51">
        <f t="shared" si="1"/>
        <v>0</v>
      </c>
      <c r="L14" s="59">
        <f t="shared" si="2"/>
        <v>1172.5999999999999</v>
      </c>
    </row>
    <row r="15" spans="1:12" s="50" customFormat="1" x14ac:dyDescent="0.2">
      <c r="A15" s="127" t="s">
        <v>226</v>
      </c>
      <c r="B15" s="126" t="s">
        <v>70</v>
      </c>
      <c r="C15" s="51">
        <v>0</v>
      </c>
      <c r="D15" s="51">
        <v>0</v>
      </c>
      <c r="E15" s="45">
        <f t="shared" si="0"/>
        <v>0</v>
      </c>
      <c r="F15" s="51">
        <f>+FACTURACIÓN!F14</f>
        <v>0</v>
      </c>
      <c r="G15" s="51">
        <f>+FACTURACIÓN!G14</f>
        <v>0</v>
      </c>
      <c r="H15" s="51">
        <v>0</v>
      </c>
      <c r="I15" s="51">
        <f>+FACTURACIÓN!I14</f>
        <v>0</v>
      </c>
      <c r="J15" s="51">
        <v>0</v>
      </c>
      <c r="K15" s="51">
        <f t="shared" si="1"/>
        <v>0</v>
      </c>
      <c r="L15" s="59">
        <f t="shared" si="2"/>
        <v>0</v>
      </c>
    </row>
    <row r="16" spans="1:12" s="50" customFormat="1" x14ac:dyDescent="0.2">
      <c r="A16" s="127" t="s">
        <v>227</v>
      </c>
      <c r="B16" s="126" t="s">
        <v>71</v>
      </c>
      <c r="C16" s="51">
        <f>+FACTURACIÓN!C15+FACTURACIÓN!D15+FACTURACIÓN!E15-'C&amp;A'!J16-'C&amp;A'!G16</f>
        <v>7201.4400000000005</v>
      </c>
      <c r="D16" s="51">
        <v>0</v>
      </c>
      <c r="E16" s="45">
        <f t="shared" si="0"/>
        <v>7201.4400000000005</v>
      </c>
      <c r="F16" s="51">
        <f>+FACTURACIÓN!F15</f>
        <v>0</v>
      </c>
      <c r="G16" s="51">
        <f>+FACTURACIÓN!G15</f>
        <v>0</v>
      </c>
      <c r="H16" s="51">
        <f>+FACTURACIÓN!H15</f>
        <v>323.13</v>
      </c>
      <c r="I16" s="51">
        <f>+FACTURACIÓN!I15</f>
        <v>777.88400000000001</v>
      </c>
      <c r="J16" s="51">
        <v>0</v>
      </c>
      <c r="K16" s="51">
        <f t="shared" si="1"/>
        <v>1101.0140000000001</v>
      </c>
      <c r="L16" s="59">
        <f t="shared" si="2"/>
        <v>6100.4260000000004</v>
      </c>
    </row>
    <row r="17" spans="1:12" s="50" customFormat="1" x14ac:dyDescent="0.2">
      <c r="A17" s="200" t="s">
        <v>292</v>
      </c>
      <c r="B17" s="199" t="s">
        <v>294</v>
      </c>
      <c r="C17" s="51">
        <f>+FACTURACIÓN!C16+FACTURACIÓN!D16+FACTURACIÓN!E16-'C&amp;A'!J17-'C&amp;A'!G17</f>
        <v>1100.8</v>
      </c>
      <c r="D17" s="51">
        <v>0</v>
      </c>
      <c r="E17" s="45">
        <f t="shared" si="0"/>
        <v>1100.8</v>
      </c>
      <c r="F17" s="51">
        <f>+FACTURACIÓN!F16</f>
        <v>0</v>
      </c>
      <c r="G17" s="51">
        <f>+FACTURACIÓN!G16</f>
        <v>0</v>
      </c>
      <c r="H17" s="51">
        <f>+FACTURACIÓN!H16</f>
        <v>0</v>
      </c>
      <c r="I17" s="51">
        <f>+FACTURACIÓN!I16</f>
        <v>0</v>
      </c>
      <c r="J17" s="51">
        <v>0</v>
      </c>
      <c r="K17" s="51">
        <f t="shared" si="1"/>
        <v>0</v>
      </c>
      <c r="L17" s="59">
        <f t="shared" si="2"/>
        <v>1100.8</v>
      </c>
    </row>
    <row r="18" spans="1:12" s="50" customFormat="1" x14ac:dyDescent="0.2">
      <c r="A18" s="127" t="s">
        <v>228</v>
      </c>
      <c r="B18" s="126" t="s">
        <v>73</v>
      </c>
      <c r="C18" s="51">
        <f>+FACTURACIÓN!C17+FACTURACIÓN!D17+FACTURACIÓN!E17-'C&amp;A'!J18-'C&amp;A'!G18</f>
        <v>41858.69</v>
      </c>
      <c r="D18" s="51">
        <v>0</v>
      </c>
      <c r="E18" s="45">
        <f t="shared" si="0"/>
        <v>41858.69</v>
      </c>
      <c r="F18" s="51">
        <f>+FACTURACIÓN!F17</f>
        <v>0</v>
      </c>
      <c r="G18" s="51">
        <f>+FACTURACIÓN!G17</f>
        <v>0</v>
      </c>
      <c r="H18" s="51">
        <f>+FACTURACIÓN!H17</f>
        <v>0</v>
      </c>
      <c r="I18" s="51">
        <f>+FACTURACIÓN!I17</f>
        <v>4243.5889999999999</v>
      </c>
      <c r="J18" s="51">
        <v>0</v>
      </c>
      <c r="K18" s="51">
        <f t="shared" si="1"/>
        <v>4243.5889999999999</v>
      </c>
      <c r="L18" s="59">
        <f t="shared" si="2"/>
        <v>37615.101000000002</v>
      </c>
    </row>
    <row r="19" spans="1:12" s="50" customFormat="1" x14ac:dyDescent="0.2">
      <c r="A19" s="49" t="s">
        <v>229</v>
      </c>
      <c r="B19" s="50" t="s">
        <v>74</v>
      </c>
      <c r="C19" s="51">
        <v>0</v>
      </c>
      <c r="D19" s="51">
        <v>0</v>
      </c>
      <c r="E19" s="45">
        <f t="shared" si="0"/>
        <v>0</v>
      </c>
      <c r="F19" s="51">
        <f>+FACTURACIÓN!F18</f>
        <v>0</v>
      </c>
      <c r="G19" s="51">
        <f>+FACTURACIÓN!G18</f>
        <v>0</v>
      </c>
      <c r="H19" s="51">
        <f>+FACTURACIÓN!H18</f>
        <v>0</v>
      </c>
      <c r="I19" s="51">
        <f>+FACTURACIÓN!I18</f>
        <v>0</v>
      </c>
      <c r="J19" s="51">
        <v>0</v>
      </c>
      <c r="K19" s="51">
        <f t="shared" si="1"/>
        <v>0</v>
      </c>
      <c r="L19" s="59">
        <f t="shared" si="2"/>
        <v>0</v>
      </c>
    </row>
    <row r="20" spans="1:12" s="50" customFormat="1" x14ac:dyDescent="0.2">
      <c r="A20" s="49" t="s">
        <v>249</v>
      </c>
      <c r="B20" s="50" t="s">
        <v>75</v>
      </c>
      <c r="C20" s="51">
        <f>+FACTURACIÓN!C19+FACTURACIÓN!D19+FACTURACIÓN!E19-'C&amp;A'!J20-'C&amp;A'!G20</f>
        <v>2843.9900000000002</v>
      </c>
      <c r="D20" s="51">
        <v>0</v>
      </c>
      <c r="E20" s="45">
        <f t="shared" si="0"/>
        <v>2843.9900000000002</v>
      </c>
      <c r="F20" s="51">
        <f>+FACTURACIÓN!F19</f>
        <v>0</v>
      </c>
      <c r="G20" s="51">
        <f>+FACTURACIÓN!G19</f>
        <v>0</v>
      </c>
      <c r="H20" s="51">
        <f>+FACTURACIÓN!H19</f>
        <v>498.65</v>
      </c>
      <c r="I20" s="51">
        <f>+FACTURACIÓN!I19</f>
        <v>0</v>
      </c>
      <c r="J20" s="51">
        <v>0</v>
      </c>
      <c r="K20" s="51">
        <f t="shared" si="1"/>
        <v>498.65</v>
      </c>
      <c r="L20" s="59">
        <f t="shared" si="2"/>
        <v>2345.34</v>
      </c>
    </row>
    <row r="21" spans="1:12" s="50" customFormat="1" x14ac:dyDescent="0.2">
      <c r="A21" s="49" t="s">
        <v>230</v>
      </c>
      <c r="B21" s="50" t="s">
        <v>217</v>
      </c>
      <c r="C21" s="51">
        <f>+FACTURACIÓN!C20+FACTURACIÓN!D20+FACTURACIÓN!E20-'C&amp;A'!J21-'C&amp;A'!G21</f>
        <v>122.79999999999995</v>
      </c>
      <c r="D21" s="51">
        <v>0</v>
      </c>
      <c r="E21" s="45">
        <f t="shared" si="0"/>
        <v>122.79999999999995</v>
      </c>
      <c r="F21" s="51">
        <f>+FACTURACIÓN!F20</f>
        <v>0</v>
      </c>
      <c r="G21" s="51">
        <f>+FACTURACIÓN!G20</f>
        <v>0</v>
      </c>
      <c r="H21" s="51">
        <f>+FACTURACIÓN!H20</f>
        <v>0</v>
      </c>
      <c r="I21" s="51">
        <f>+FACTURACIÓN!I20</f>
        <v>0</v>
      </c>
      <c r="J21" s="51">
        <v>0</v>
      </c>
      <c r="K21" s="51">
        <f t="shared" si="1"/>
        <v>0</v>
      </c>
      <c r="L21" s="59">
        <f t="shared" si="2"/>
        <v>122.79999999999995</v>
      </c>
    </row>
    <row r="22" spans="1:12" s="50" customFormat="1" x14ac:dyDescent="0.2">
      <c r="A22" s="49" t="s">
        <v>293</v>
      </c>
      <c r="B22" s="50" t="s">
        <v>295</v>
      </c>
      <c r="C22" s="51">
        <f>+FACTURACIÓN!C21+FACTURACIÓN!D21+FACTURACIÓN!E21-'C&amp;A'!J22-'C&amp;A'!G22</f>
        <v>122.60000000000002</v>
      </c>
      <c r="D22" s="51">
        <v>0</v>
      </c>
      <c r="E22" s="45">
        <f t="shared" si="0"/>
        <v>122.60000000000002</v>
      </c>
      <c r="F22" s="51">
        <f>+FACTURACIÓN!F21</f>
        <v>0</v>
      </c>
      <c r="G22" s="51">
        <f>+FACTURACIÓN!G21</f>
        <v>0</v>
      </c>
      <c r="H22" s="51">
        <f>+FACTURACIÓN!H21</f>
        <v>0</v>
      </c>
      <c r="I22" s="51">
        <f>+FACTURACIÓN!I21</f>
        <v>0</v>
      </c>
      <c r="J22" s="51">
        <v>0</v>
      </c>
      <c r="K22" s="51">
        <f t="shared" si="1"/>
        <v>0</v>
      </c>
      <c r="L22" s="59">
        <f t="shared" si="2"/>
        <v>122.60000000000002</v>
      </c>
    </row>
    <row r="23" spans="1:12" s="50" customFormat="1" x14ac:dyDescent="0.2">
      <c r="A23" s="49" t="s">
        <v>231</v>
      </c>
      <c r="B23" s="50" t="s">
        <v>77</v>
      </c>
      <c r="C23" s="51">
        <f>+FACTURACIÓN!C22+FACTURACIÓN!D22+FACTURACIÓN!E22-'C&amp;A'!J23-'C&amp;A'!G23</f>
        <v>75785.260000000009</v>
      </c>
      <c r="D23" s="51">
        <v>0</v>
      </c>
      <c r="E23" s="45">
        <f t="shared" si="0"/>
        <v>75785.260000000009</v>
      </c>
      <c r="F23" s="51">
        <f>+FACTURACIÓN!F22</f>
        <v>0</v>
      </c>
      <c r="G23" s="51">
        <f>+FACTURACIÓN!G22</f>
        <v>524.16999999999996</v>
      </c>
      <c r="H23" s="51">
        <f>+FACTURACIÓN!H22</f>
        <v>144.03</v>
      </c>
      <c r="I23" s="51">
        <f>+FACTURACIÓN!I22</f>
        <v>7636.2660000000005</v>
      </c>
      <c r="J23" s="51">
        <v>0</v>
      </c>
      <c r="K23" s="51">
        <f t="shared" si="1"/>
        <v>8304.4660000000003</v>
      </c>
      <c r="L23" s="59">
        <f t="shared" si="2"/>
        <v>67480.794000000009</v>
      </c>
    </row>
    <row r="24" spans="1:12" s="50" customFormat="1" x14ac:dyDescent="0.2">
      <c r="A24" s="49" t="s">
        <v>232</v>
      </c>
      <c r="B24" s="50" t="s">
        <v>78</v>
      </c>
      <c r="C24" s="51">
        <f>+FACTURACIÓN!C23+FACTURACIÓN!D23+FACTURACIÓN!E23-'C&amp;A'!J24-'C&amp;A'!G24</f>
        <v>12414.87</v>
      </c>
      <c r="D24" s="51">
        <v>0</v>
      </c>
      <c r="E24" s="45">
        <f t="shared" si="0"/>
        <v>12414.87</v>
      </c>
      <c r="F24" s="51">
        <f>+FACTURACIÓN!F23</f>
        <v>0</v>
      </c>
      <c r="G24" s="51">
        <f>+FACTURACIÓN!G23</f>
        <v>0</v>
      </c>
      <c r="H24" s="51">
        <f>+FACTURACIÓN!H23</f>
        <v>0</v>
      </c>
      <c r="I24" s="51">
        <f>+FACTURACIÓN!I23</f>
        <v>1299.2270000000001</v>
      </c>
      <c r="J24" s="51">
        <v>0</v>
      </c>
      <c r="K24" s="51">
        <f t="shared" si="1"/>
        <v>1299.2270000000001</v>
      </c>
      <c r="L24" s="59">
        <f t="shared" si="2"/>
        <v>11115.643</v>
      </c>
    </row>
    <row r="25" spans="1:12" s="50" customFormat="1" x14ac:dyDescent="0.2">
      <c r="A25" s="49" t="s">
        <v>233</v>
      </c>
      <c r="B25" s="50" t="s">
        <v>79</v>
      </c>
      <c r="C25" s="51">
        <f>+FACTURACIÓN!C24+FACTURACIÓN!D24+FACTURACIÓN!E24-'C&amp;A'!J25-'C&amp;A'!G25</f>
        <v>9993.86</v>
      </c>
      <c r="D25" s="51">
        <v>0</v>
      </c>
      <c r="E25" s="45">
        <f t="shared" si="0"/>
        <v>9993.86</v>
      </c>
      <c r="F25" s="51">
        <f>+FACTURACIÓN!F24</f>
        <v>0</v>
      </c>
      <c r="G25" s="51">
        <f>+FACTURACIÓN!G24</f>
        <v>0</v>
      </c>
      <c r="H25" s="51">
        <f>+FACTURACIÓN!H24</f>
        <v>0</v>
      </c>
      <c r="I25" s="51">
        <f>+FACTURACIÓN!I24</f>
        <v>1057.126</v>
      </c>
      <c r="J25" s="51">
        <v>0</v>
      </c>
      <c r="K25" s="51">
        <f t="shared" si="1"/>
        <v>1057.126</v>
      </c>
      <c r="L25" s="59">
        <f t="shared" si="2"/>
        <v>8936.7340000000004</v>
      </c>
    </row>
    <row r="26" spans="1:12" s="50" customFormat="1" x14ac:dyDescent="0.2">
      <c r="A26" s="49" t="s">
        <v>234</v>
      </c>
      <c r="B26" s="50" t="s">
        <v>80</v>
      </c>
      <c r="C26" s="51">
        <v>0</v>
      </c>
      <c r="D26" s="51">
        <v>0</v>
      </c>
      <c r="E26" s="45">
        <f t="shared" si="0"/>
        <v>0</v>
      </c>
      <c r="F26" s="51">
        <f>+FACTURACIÓN!F25</f>
        <v>0</v>
      </c>
      <c r="G26" s="51">
        <f>+FACTURACIÓN!G25</f>
        <v>0</v>
      </c>
      <c r="H26" s="51">
        <f>+FACTURACIÓN!H25</f>
        <v>0</v>
      </c>
      <c r="I26" s="51">
        <f>+FACTURACIÓN!I25</f>
        <v>0</v>
      </c>
      <c r="J26" s="51">
        <v>0</v>
      </c>
      <c r="K26" s="51">
        <f t="shared" si="1"/>
        <v>0</v>
      </c>
      <c r="L26" s="59">
        <f t="shared" si="2"/>
        <v>0</v>
      </c>
    </row>
    <row r="27" spans="1:12" s="50" customFormat="1" x14ac:dyDescent="0.2">
      <c r="A27" s="127" t="s">
        <v>235</v>
      </c>
      <c r="B27" s="126" t="s">
        <v>81</v>
      </c>
      <c r="C27" s="51">
        <v>0</v>
      </c>
      <c r="D27" s="51">
        <v>0</v>
      </c>
      <c r="E27" s="45">
        <f t="shared" si="0"/>
        <v>0</v>
      </c>
      <c r="F27" s="51">
        <f>+FACTURACIÓN!F26</f>
        <v>0</v>
      </c>
      <c r="G27" s="51">
        <f>+FACTURACIÓN!G26</f>
        <v>0</v>
      </c>
      <c r="H27" s="51">
        <v>0</v>
      </c>
      <c r="I27" s="51">
        <f>+FACTURACIÓN!I26</f>
        <v>0</v>
      </c>
      <c r="J27" s="51">
        <v>0</v>
      </c>
      <c r="K27" s="51">
        <f t="shared" si="1"/>
        <v>0</v>
      </c>
      <c r="L27" s="59">
        <f t="shared" si="2"/>
        <v>0</v>
      </c>
    </row>
    <row r="28" spans="1:12" s="50" customFormat="1" x14ac:dyDescent="0.2">
      <c r="A28" s="127" t="s">
        <v>236</v>
      </c>
      <c r="B28" s="126" t="s">
        <v>83</v>
      </c>
      <c r="C28" s="51">
        <f>+FACTURACIÓN!C27+FACTURACIÓN!D27+FACTURACIÓN!E27-'C&amp;A'!J28-'C&amp;A'!G28</f>
        <v>2349.04</v>
      </c>
      <c r="D28" s="51">
        <v>0</v>
      </c>
      <c r="E28" s="45">
        <f t="shared" si="0"/>
        <v>2349.04</v>
      </c>
      <c r="F28" s="51">
        <f>+FACTURACIÓN!F27</f>
        <v>0</v>
      </c>
      <c r="G28" s="51">
        <f>+FACTURACIÓN!G27</f>
        <v>0</v>
      </c>
      <c r="H28" s="51">
        <f>+FACTURACIÓN!H27</f>
        <v>89.36</v>
      </c>
      <c r="I28" s="51">
        <f>+FACTURACIÓN!I27</f>
        <v>0</v>
      </c>
      <c r="J28" s="51">
        <v>0</v>
      </c>
      <c r="K28" s="51">
        <f t="shared" si="1"/>
        <v>89.36</v>
      </c>
      <c r="L28" s="59">
        <f t="shared" si="2"/>
        <v>2259.6799999999998</v>
      </c>
    </row>
    <row r="29" spans="1:12" s="50" customFormat="1" x14ac:dyDescent="0.2">
      <c r="A29" s="127" t="s">
        <v>237</v>
      </c>
      <c r="B29" s="126" t="s">
        <v>85</v>
      </c>
      <c r="C29" s="51">
        <f>+FACTURACIÓN!C28+FACTURACIÓN!D28+FACTURACIÓN!E28-'C&amp;A'!J29-'C&amp;A'!G29</f>
        <v>15723.6</v>
      </c>
      <c r="D29" s="51">
        <v>0</v>
      </c>
      <c r="E29" s="45">
        <f t="shared" si="0"/>
        <v>15723.6</v>
      </c>
      <c r="F29" s="51">
        <f>+FACTURACIÓN!F28</f>
        <v>0</v>
      </c>
      <c r="G29" s="51">
        <f>+FACTURACIÓN!G28</f>
        <v>0</v>
      </c>
      <c r="H29" s="51">
        <f>+FACTURACIÓN!H28</f>
        <v>0</v>
      </c>
      <c r="I29" s="51">
        <f>+FACTURACIÓN!I28</f>
        <v>1630.1000000000001</v>
      </c>
      <c r="J29" s="51">
        <v>0</v>
      </c>
      <c r="K29" s="51">
        <f t="shared" si="1"/>
        <v>1630.1000000000001</v>
      </c>
      <c r="L29" s="59">
        <f t="shared" si="2"/>
        <v>14093.5</v>
      </c>
    </row>
    <row r="30" spans="1:12" s="50" customFormat="1" x14ac:dyDescent="0.2">
      <c r="A30" s="127" t="s">
        <v>238</v>
      </c>
      <c r="B30" s="126" t="s">
        <v>86</v>
      </c>
      <c r="C30" s="51">
        <f>+FACTURACIÓN!C29+FACTURACIÓN!D29+FACTURACIÓN!E29-'C&amp;A'!J30-'C&amp;A'!G30</f>
        <v>22271.8</v>
      </c>
      <c r="D30" s="51">
        <v>0</v>
      </c>
      <c r="E30" s="45">
        <f t="shared" si="0"/>
        <v>22271.8</v>
      </c>
      <c r="F30" s="51">
        <f>+FACTURACIÓN!F29</f>
        <v>0</v>
      </c>
      <c r="G30" s="51">
        <f>+FACTURACIÓN!G29</f>
        <v>0</v>
      </c>
      <c r="H30" s="51">
        <f>+FACTURACIÓN!H29</f>
        <v>0</v>
      </c>
      <c r="I30" s="51">
        <f>+FACTURACIÓN!I29</f>
        <v>2284.92</v>
      </c>
      <c r="J30" s="51">
        <v>0</v>
      </c>
      <c r="K30" s="51">
        <f t="shared" si="1"/>
        <v>2284.92</v>
      </c>
      <c r="L30" s="59">
        <f t="shared" si="2"/>
        <v>19986.879999999997</v>
      </c>
    </row>
    <row r="31" spans="1:12" s="50" customFormat="1" x14ac:dyDescent="0.2">
      <c r="A31" s="149" t="s">
        <v>239</v>
      </c>
      <c r="B31" s="148" t="s">
        <v>88</v>
      </c>
      <c r="C31" s="51">
        <f>+FACTURACIÓN!C30+FACTURACIÓN!D30+FACTURACIÓN!E30-'C&amp;A'!J31-'C&amp;A'!G31</f>
        <v>2268.5300000000002</v>
      </c>
      <c r="D31" s="51">
        <v>0</v>
      </c>
      <c r="E31" s="45">
        <f t="shared" si="0"/>
        <v>2268.5300000000002</v>
      </c>
      <c r="F31" s="51">
        <f>+FACTURACIÓN!F30</f>
        <v>0</v>
      </c>
      <c r="G31" s="51">
        <f>+FACTURACIÓN!G30</f>
        <v>0</v>
      </c>
      <c r="H31" s="51">
        <f>+FACTURACIÓN!H30</f>
        <v>0</v>
      </c>
      <c r="I31" s="51">
        <f>+FACTURACIÓN!I30</f>
        <v>0</v>
      </c>
      <c r="J31" s="51">
        <v>0</v>
      </c>
      <c r="K31" s="51">
        <f t="shared" si="1"/>
        <v>0</v>
      </c>
      <c r="L31" s="59">
        <f t="shared" si="2"/>
        <v>2268.5300000000002</v>
      </c>
    </row>
    <row r="32" spans="1:12" s="50" customFormat="1" x14ac:dyDescent="0.2">
      <c r="A32" s="127" t="s">
        <v>240</v>
      </c>
      <c r="B32" s="126" t="s">
        <v>89</v>
      </c>
      <c r="C32" s="51">
        <f>+FACTURACIÓN!C31+FACTURACIÓN!D31+FACTURACIÓN!E31-'C&amp;A'!J32-'C&amp;A'!G32</f>
        <v>15315.99</v>
      </c>
      <c r="D32" s="51">
        <v>0</v>
      </c>
      <c r="E32" s="45">
        <f t="shared" si="0"/>
        <v>15315.99</v>
      </c>
      <c r="F32" s="51">
        <f>+FACTURACIÓN!F31</f>
        <v>0</v>
      </c>
      <c r="G32" s="51">
        <f>+FACTURACIÓN!G31</f>
        <v>0</v>
      </c>
      <c r="H32" s="51">
        <f>+FACTURACIÓN!H31</f>
        <v>0</v>
      </c>
      <c r="I32" s="51">
        <f>+FACTURACIÓN!I31</f>
        <v>1589.3389999999999</v>
      </c>
      <c r="J32" s="51">
        <v>0</v>
      </c>
      <c r="K32" s="51">
        <f t="shared" si="1"/>
        <v>1589.3389999999999</v>
      </c>
      <c r="L32" s="59">
        <f t="shared" si="2"/>
        <v>13726.651</v>
      </c>
    </row>
    <row r="33" spans="1:12" s="50" customFormat="1" x14ac:dyDescent="0.2">
      <c r="A33" s="200" t="s">
        <v>296</v>
      </c>
      <c r="B33" s="199" t="s">
        <v>297</v>
      </c>
      <c r="C33" s="51">
        <f>+FACTURACIÓN!C32+FACTURACIÓN!D32+FACTURACIÓN!E32-'C&amp;A'!J33-'C&amp;A'!G33</f>
        <v>122.60000000000002</v>
      </c>
      <c r="D33" s="51">
        <v>0</v>
      </c>
      <c r="E33" s="45">
        <f t="shared" si="0"/>
        <v>122.60000000000002</v>
      </c>
      <c r="F33" s="51">
        <f>+FACTURACIÓN!F32</f>
        <v>0</v>
      </c>
      <c r="G33" s="51">
        <f>+FACTURACIÓN!G32</f>
        <v>0</v>
      </c>
      <c r="H33" s="51">
        <f>+FACTURACIÓN!H32</f>
        <v>0</v>
      </c>
      <c r="I33" s="51">
        <f>+FACTURACIÓN!I32</f>
        <v>0</v>
      </c>
      <c r="J33" s="51">
        <v>0</v>
      </c>
      <c r="K33" s="51">
        <f t="shared" si="1"/>
        <v>0</v>
      </c>
      <c r="L33" s="59">
        <f t="shared" si="2"/>
        <v>122.60000000000002</v>
      </c>
    </row>
    <row r="34" spans="1:12" s="50" customFormat="1" x14ac:dyDescent="0.2">
      <c r="A34" s="127" t="s">
        <v>241</v>
      </c>
      <c r="B34" s="126" t="s">
        <v>90</v>
      </c>
      <c r="C34" s="51">
        <f>+FACTURACIÓN!C33+FACTURACIÓN!D33+FACTURACIÓN!E33-'C&amp;A'!J34-'C&amp;A'!G34</f>
        <v>122.60000000000002</v>
      </c>
      <c r="D34" s="51">
        <v>0</v>
      </c>
      <c r="E34" s="45">
        <f t="shared" si="0"/>
        <v>122.60000000000002</v>
      </c>
      <c r="F34" s="51">
        <f>+FACTURACIÓN!F33</f>
        <v>0</v>
      </c>
      <c r="G34" s="51">
        <f>+FACTURACIÓN!G33</f>
        <v>0</v>
      </c>
      <c r="H34" s="51">
        <f>+FACTURACIÓN!H33</f>
        <v>0</v>
      </c>
      <c r="I34" s="51">
        <f>+FACTURACIÓN!I33</f>
        <v>0</v>
      </c>
      <c r="J34" s="51">
        <v>0</v>
      </c>
      <c r="K34" s="51">
        <f t="shared" si="1"/>
        <v>0</v>
      </c>
      <c r="L34" s="59">
        <f t="shared" si="2"/>
        <v>122.60000000000002</v>
      </c>
    </row>
    <row r="35" spans="1:12" s="50" customFormat="1" x14ac:dyDescent="0.2">
      <c r="A35" s="127" t="s">
        <v>242</v>
      </c>
      <c r="B35" s="126" t="s">
        <v>91</v>
      </c>
      <c r="C35" s="51">
        <f>+FACTURACIÓN!C34+FACTURACIÓN!D34+FACTURACIÓN!E34-'C&amp;A'!J35-'C&amp;A'!G35</f>
        <v>1644.5099999999998</v>
      </c>
      <c r="D35" s="51">
        <v>0</v>
      </c>
      <c r="E35" s="45">
        <f t="shared" si="0"/>
        <v>1644.5099999999998</v>
      </c>
      <c r="F35" s="51">
        <f>+FACTURACIÓN!F34</f>
        <v>0</v>
      </c>
      <c r="G35" s="51">
        <f>+FACTURACIÓN!G34</f>
        <v>0</v>
      </c>
      <c r="H35" s="51">
        <f>+FACTURACIÓN!H34</f>
        <v>0</v>
      </c>
      <c r="I35" s="51">
        <f>+FACTURACIÓN!I34</f>
        <v>0</v>
      </c>
      <c r="J35" s="51">
        <v>0</v>
      </c>
      <c r="K35" s="51">
        <f t="shared" si="1"/>
        <v>0</v>
      </c>
      <c r="L35" s="59">
        <f t="shared" si="2"/>
        <v>1644.5099999999998</v>
      </c>
    </row>
    <row r="36" spans="1:12" s="50" customFormat="1" x14ac:dyDescent="0.2">
      <c r="A36" s="127" t="s">
        <v>243</v>
      </c>
      <c r="B36" s="126" t="s">
        <v>93</v>
      </c>
      <c r="C36" s="51">
        <f>+FACTURACIÓN!C35+FACTURACIÓN!D35+FACTURACIÓN!E35-'C&amp;A'!J36-'C&amp;A'!G36</f>
        <v>3250.2099999999996</v>
      </c>
      <c r="D36" s="51">
        <v>0</v>
      </c>
      <c r="E36" s="45">
        <f t="shared" si="0"/>
        <v>3250.2099999999996</v>
      </c>
      <c r="F36" s="51">
        <f>+FACTURACIÓN!F35</f>
        <v>0</v>
      </c>
      <c r="G36" s="51">
        <f>+FACTURACIÓN!G35</f>
        <v>0</v>
      </c>
      <c r="H36" s="51">
        <f>+FACTURACIÓN!H35</f>
        <v>0</v>
      </c>
      <c r="I36" s="51">
        <f>+FACTURACIÓN!I35</f>
        <v>0</v>
      </c>
      <c r="J36" s="51">
        <v>0</v>
      </c>
      <c r="K36" s="51">
        <f t="shared" si="1"/>
        <v>0</v>
      </c>
      <c r="L36" s="59">
        <f t="shared" si="2"/>
        <v>3250.2099999999996</v>
      </c>
    </row>
    <row r="37" spans="1:12" s="53" customFormat="1" x14ac:dyDescent="0.2">
      <c r="A37" s="127" t="s">
        <v>244</v>
      </c>
      <c r="B37" s="126" t="s">
        <v>95</v>
      </c>
      <c r="C37" s="51">
        <v>0</v>
      </c>
      <c r="D37" s="51">
        <v>0</v>
      </c>
      <c r="E37" s="45">
        <f t="shared" si="0"/>
        <v>0</v>
      </c>
      <c r="F37" s="51">
        <f>+FACTURACIÓN!F36</f>
        <v>0</v>
      </c>
      <c r="G37" s="51">
        <f>+FACTURACIÓN!G36</f>
        <v>0</v>
      </c>
      <c r="H37" s="51">
        <v>0</v>
      </c>
      <c r="I37" s="51">
        <f>+FACTURACIÓN!I36</f>
        <v>0</v>
      </c>
      <c r="J37" s="51">
        <v>0</v>
      </c>
      <c r="K37" s="51">
        <f t="shared" si="1"/>
        <v>0</v>
      </c>
      <c r="L37" s="59">
        <f t="shared" si="2"/>
        <v>0</v>
      </c>
    </row>
    <row r="38" spans="1:12" s="55" customFormat="1" ht="14.25" x14ac:dyDescent="0.2">
      <c r="A38" s="127" t="s">
        <v>245</v>
      </c>
      <c r="B38" s="126" t="s">
        <v>96</v>
      </c>
      <c r="C38" s="51">
        <f>+FACTURACIÓN!C37+FACTURACIÓN!D37+FACTURACIÓN!E37-'C&amp;A'!J38-'C&amp;A'!G38</f>
        <v>8193.94</v>
      </c>
      <c r="D38" s="51">
        <v>0</v>
      </c>
      <c r="E38" s="45">
        <f t="shared" si="0"/>
        <v>8193.94</v>
      </c>
      <c r="F38" s="51">
        <f>+FACTURACIÓN!F37</f>
        <v>0</v>
      </c>
      <c r="G38" s="51">
        <f>+FACTURACIÓN!G37</f>
        <v>0</v>
      </c>
      <c r="H38" s="51">
        <f>+FACTURACIÓN!H37</f>
        <v>1148.7</v>
      </c>
      <c r="I38" s="51">
        <f>+FACTURACIÓN!I37</f>
        <v>819.39400000000012</v>
      </c>
      <c r="J38" s="51">
        <v>0</v>
      </c>
      <c r="K38" s="51">
        <f t="shared" si="1"/>
        <v>1968.0940000000001</v>
      </c>
      <c r="L38" s="59">
        <f t="shared" si="2"/>
        <v>6225.8460000000005</v>
      </c>
    </row>
    <row r="39" spans="1:12" s="50" customFormat="1" x14ac:dyDescent="0.2">
      <c r="A39" s="127" t="s">
        <v>246</v>
      </c>
      <c r="B39" s="126" t="s">
        <v>218</v>
      </c>
      <c r="C39" s="51">
        <f>+FACTURACIÓN!C38+FACTURACIÓN!D38+FACTURACIÓN!E38-'C&amp;A'!J39-'C&amp;A'!G39</f>
        <v>122.79999999999995</v>
      </c>
      <c r="D39" s="51">
        <v>0</v>
      </c>
      <c r="E39" s="45">
        <f t="shared" si="0"/>
        <v>122.79999999999995</v>
      </c>
      <c r="F39" s="51">
        <f>+FACTURACIÓN!F38</f>
        <v>0</v>
      </c>
      <c r="G39" s="51">
        <f>+FACTURACIÓN!G38</f>
        <v>0</v>
      </c>
      <c r="H39" s="51">
        <f>+FACTURACIÓN!H38</f>
        <v>0</v>
      </c>
      <c r="I39" s="51">
        <f>+FACTURACIÓN!I38</f>
        <v>0</v>
      </c>
      <c r="J39" s="51">
        <v>0</v>
      </c>
      <c r="K39" s="51">
        <f t="shared" si="1"/>
        <v>0</v>
      </c>
      <c r="L39" s="59">
        <f t="shared" si="2"/>
        <v>122.79999999999995</v>
      </c>
    </row>
    <row r="40" spans="1:12" x14ac:dyDescent="0.2">
      <c r="A40" s="127" t="s">
        <v>247</v>
      </c>
      <c r="B40" s="126" t="s">
        <v>97</v>
      </c>
      <c r="C40" s="51">
        <f>+FACTURACIÓN!C39+FACTURACIÓN!D39+FACTURACIÓN!E39-'C&amp;A'!J40-'C&amp;A'!G40</f>
        <v>66.019999999999868</v>
      </c>
      <c r="D40" s="51">
        <v>0</v>
      </c>
      <c r="E40" s="45">
        <f t="shared" si="0"/>
        <v>66.019999999999868</v>
      </c>
      <c r="F40" s="51">
        <f>+FACTURACIÓN!F39</f>
        <v>0</v>
      </c>
      <c r="G40" s="51">
        <f>+FACTURACIÓN!G39</f>
        <v>0</v>
      </c>
      <c r="H40" s="51">
        <f>+FACTURACIÓN!H39</f>
        <v>0</v>
      </c>
      <c r="I40" s="51">
        <f>+FACTURACIÓN!I39</f>
        <v>0</v>
      </c>
      <c r="J40" s="51">
        <v>0</v>
      </c>
      <c r="K40" s="51">
        <f t="shared" si="1"/>
        <v>0</v>
      </c>
      <c r="L40" s="59">
        <f t="shared" si="2"/>
        <v>66.019999999999868</v>
      </c>
    </row>
    <row r="41" spans="1:12" x14ac:dyDescent="0.2">
      <c r="A41" s="52"/>
      <c r="B41" s="53"/>
      <c r="C41" s="53" t="s">
        <v>15</v>
      </c>
      <c r="D41" s="53" t="s">
        <v>15</v>
      </c>
      <c r="E41" s="53" t="s">
        <v>15</v>
      </c>
      <c r="F41" s="53" t="s">
        <v>15</v>
      </c>
      <c r="G41" s="53" t="s">
        <v>15</v>
      </c>
      <c r="H41" s="53" t="s">
        <v>15</v>
      </c>
      <c r="I41" s="53" t="s">
        <v>15</v>
      </c>
      <c r="J41" s="53" t="s">
        <v>15</v>
      </c>
      <c r="K41" s="53" t="s">
        <v>15</v>
      </c>
      <c r="L41" s="53" t="s">
        <v>15</v>
      </c>
    </row>
    <row r="42" spans="1:12" ht="15" x14ac:dyDescent="0.25">
      <c r="A42" s="54" t="s">
        <v>16</v>
      </c>
      <c r="B42" s="55" t="s">
        <v>17</v>
      </c>
      <c r="C42" s="56">
        <f>SUM(C10:C41)</f>
        <v>229519.55999999997</v>
      </c>
      <c r="D42" s="56">
        <f t="shared" ref="D42:L42" si="3">SUM(D10:D41)</f>
        <v>0</v>
      </c>
      <c r="E42" s="56">
        <f t="shared" si="3"/>
        <v>229519.55999999997</v>
      </c>
      <c r="F42" s="56">
        <f t="shared" si="3"/>
        <v>0</v>
      </c>
      <c r="G42" s="56">
        <f t="shared" si="3"/>
        <v>524.16999999999996</v>
      </c>
      <c r="H42" s="56">
        <f t="shared" si="3"/>
        <v>2203.87</v>
      </c>
      <c r="I42" s="56">
        <f t="shared" si="3"/>
        <v>21806.315000000002</v>
      </c>
      <c r="J42" s="56">
        <f t="shared" si="3"/>
        <v>0</v>
      </c>
      <c r="K42" s="56">
        <f t="shared" si="3"/>
        <v>24534.355</v>
      </c>
      <c r="L42" s="56">
        <f t="shared" si="3"/>
        <v>204985.20500000002</v>
      </c>
    </row>
    <row r="43" spans="1:12" x14ac:dyDescent="0.2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</row>
    <row r="44" spans="1:12" x14ac:dyDescent="0.2">
      <c r="C44" s="2" t="s">
        <v>17</v>
      </c>
      <c r="D44" s="2" t="s">
        <v>17</v>
      </c>
      <c r="E44" s="2" t="s">
        <v>17</v>
      </c>
      <c r="F44" s="2" t="s">
        <v>17</v>
      </c>
      <c r="G44" s="2" t="s">
        <v>17</v>
      </c>
      <c r="H44" s="2" t="s">
        <v>17</v>
      </c>
      <c r="I44" s="2" t="s">
        <v>17</v>
      </c>
      <c r="K44" s="2" t="s">
        <v>17</v>
      </c>
    </row>
    <row r="45" spans="1:12" x14ac:dyDescent="0.2">
      <c r="A45" s="3" t="s">
        <v>17</v>
      </c>
      <c r="B45" s="2" t="s">
        <v>17</v>
      </c>
      <c r="C45" s="9"/>
      <c r="D45" s="9"/>
      <c r="E45" s="9"/>
      <c r="F45" s="9"/>
      <c r="G45" s="9"/>
      <c r="H45" s="9"/>
      <c r="I45" s="9"/>
      <c r="J45" s="39"/>
      <c r="K45" s="9"/>
    </row>
    <row r="47" spans="1:12" x14ac:dyDescent="0.2">
      <c r="L47" s="147"/>
    </row>
  </sheetData>
  <mergeCells count="1">
    <mergeCell ref="B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9" workbookViewId="0">
      <selection activeCell="A109" sqref="A1:XFD1048576"/>
    </sheetView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10" workbookViewId="0">
      <selection activeCell="D29" sqref="D29"/>
    </sheetView>
  </sheetViews>
  <sheetFormatPr baseColWidth="10" defaultRowHeight="15" x14ac:dyDescent="0.25"/>
  <cols>
    <col min="1" max="1" width="11.42578125" style="33"/>
    <col min="2" max="2" width="25.85546875" style="33" bestFit="1" customWidth="1"/>
    <col min="3" max="3" width="11.42578125" style="42"/>
    <col min="4" max="16384" width="11.42578125" style="33"/>
  </cols>
  <sheetData>
    <row r="1" spans="1:3" x14ac:dyDescent="0.25">
      <c r="A1" s="33" t="s">
        <v>18</v>
      </c>
      <c r="B1" s="33" t="s">
        <v>113</v>
      </c>
      <c r="C1" s="42" t="s">
        <v>114</v>
      </c>
    </row>
    <row r="2" spans="1:3" x14ac:dyDescent="0.25">
      <c r="A2" s="33" t="s">
        <v>19</v>
      </c>
      <c r="B2" s="33" t="s">
        <v>115</v>
      </c>
      <c r="C2" s="42" t="s">
        <v>19</v>
      </c>
    </row>
    <row r="3" spans="1:3" x14ac:dyDescent="0.25">
      <c r="A3" s="40" t="s">
        <v>41</v>
      </c>
      <c r="B3" s="40" t="s">
        <v>124</v>
      </c>
      <c r="C3" s="41">
        <v>0</v>
      </c>
    </row>
    <row r="4" spans="1:3" x14ac:dyDescent="0.25">
      <c r="A4" s="40" t="s">
        <v>43</v>
      </c>
      <c r="B4" s="40" t="s">
        <v>125</v>
      </c>
      <c r="C4" s="41">
        <v>0</v>
      </c>
    </row>
    <row r="5" spans="1:3" x14ac:dyDescent="0.25">
      <c r="A5" s="40" t="s">
        <v>44</v>
      </c>
      <c r="B5" s="40" t="s">
        <v>126</v>
      </c>
      <c r="C5" s="41">
        <v>0</v>
      </c>
    </row>
    <row r="6" spans="1:3" x14ac:dyDescent="0.25">
      <c r="A6" s="40" t="s">
        <v>40</v>
      </c>
      <c r="B6" s="40" t="s">
        <v>123</v>
      </c>
      <c r="C6" s="41">
        <v>134.46</v>
      </c>
    </row>
    <row r="7" spans="1:3" x14ac:dyDescent="0.25">
      <c r="A7" s="40" t="s">
        <v>35</v>
      </c>
      <c r="B7" s="40" t="s">
        <v>116</v>
      </c>
      <c r="C7" s="41">
        <v>0</v>
      </c>
    </row>
    <row r="8" spans="1:3" x14ac:dyDescent="0.25">
      <c r="A8" s="40" t="s">
        <v>48</v>
      </c>
      <c r="B8" s="40" t="s">
        <v>127</v>
      </c>
      <c r="C8" s="41">
        <v>134.6</v>
      </c>
    </row>
    <row r="9" spans="1:3" x14ac:dyDescent="0.25">
      <c r="A9" s="40" t="s">
        <v>49</v>
      </c>
      <c r="B9" s="40" t="s">
        <v>128</v>
      </c>
      <c r="C9" s="41">
        <v>240.83</v>
      </c>
    </row>
    <row r="10" spans="1:3" x14ac:dyDescent="0.25">
      <c r="A10" s="40">
        <v>5</v>
      </c>
      <c r="B10" s="40" t="s">
        <v>121</v>
      </c>
      <c r="C10" s="41">
        <v>0</v>
      </c>
    </row>
    <row r="11" spans="1:3" x14ac:dyDescent="0.25">
      <c r="A11" s="40" t="s">
        <v>50</v>
      </c>
      <c r="B11" s="40" t="s">
        <v>129</v>
      </c>
      <c r="C11" s="41">
        <v>0</v>
      </c>
    </row>
    <row r="12" spans="1:3" x14ac:dyDescent="0.25">
      <c r="A12" s="40" t="s">
        <v>37</v>
      </c>
      <c r="B12" s="40" t="s">
        <v>118</v>
      </c>
      <c r="C12" s="41">
        <v>498.65</v>
      </c>
    </row>
    <row r="13" spans="1:3" x14ac:dyDescent="0.25">
      <c r="A13" s="40">
        <v>21</v>
      </c>
      <c r="B13" s="40" t="s">
        <v>122</v>
      </c>
      <c r="C13" s="41">
        <v>144.03</v>
      </c>
    </row>
    <row r="14" spans="1:3" x14ac:dyDescent="0.25">
      <c r="A14" s="40" t="s">
        <v>52</v>
      </c>
      <c r="B14" s="40" t="s">
        <v>131</v>
      </c>
      <c r="C14" s="41">
        <v>0</v>
      </c>
    </row>
    <row r="15" spans="1:3" x14ac:dyDescent="0.25">
      <c r="A15" s="40" t="s">
        <v>53</v>
      </c>
      <c r="B15" s="40" t="s">
        <v>132</v>
      </c>
      <c r="C15" s="41">
        <v>0</v>
      </c>
    </row>
    <row r="16" spans="1:3" x14ac:dyDescent="0.25">
      <c r="A16" s="40" t="s">
        <v>51</v>
      </c>
      <c r="B16" s="40" t="s">
        <v>130</v>
      </c>
      <c r="C16" s="41">
        <v>115.26</v>
      </c>
    </row>
    <row r="17" spans="1:3" x14ac:dyDescent="0.25">
      <c r="A17" s="40">
        <v>10</v>
      </c>
      <c r="B17" s="40" t="s">
        <v>117</v>
      </c>
      <c r="C17" s="41">
        <v>89.36</v>
      </c>
    </row>
    <row r="18" spans="1:3" x14ac:dyDescent="0.25">
      <c r="A18" s="40" t="s">
        <v>56</v>
      </c>
      <c r="B18" s="40" t="s">
        <v>136</v>
      </c>
      <c r="C18" s="41">
        <v>0</v>
      </c>
    </row>
    <row r="19" spans="1:3" x14ac:dyDescent="0.25">
      <c r="A19" s="40" t="s">
        <v>133</v>
      </c>
      <c r="B19" s="40" t="s">
        <v>134</v>
      </c>
      <c r="C19" s="41">
        <v>0</v>
      </c>
    </row>
    <row r="20" spans="1:3" x14ac:dyDescent="0.25">
      <c r="A20" s="40" t="s">
        <v>55</v>
      </c>
      <c r="B20" s="40" t="s">
        <v>135</v>
      </c>
      <c r="C20" s="41">
        <v>0</v>
      </c>
    </row>
    <row r="21" spans="1:3" x14ac:dyDescent="0.25">
      <c r="A21" s="40" t="s">
        <v>38</v>
      </c>
      <c r="B21" s="40" t="s">
        <v>119</v>
      </c>
      <c r="C21" s="41">
        <v>0</v>
      </c>
    </row>
    <row r="22" spans="1:3" x14ac:dyDescent="0.25">
      <c r="A22" s="40" t="s">
        <v>58</v>
      </c>
      <c r="B22" s="40" t="s">
        <v>137</v>
      </c>
      <c r="C22" s="41">
        <v>0</v>
      </c>
    </row>
    <row r="23" spans="1:3" x14ac:dyDescent="0.25">
      <c r="A23" s="40" t="s">
        <v>59</v>
      </c>
      <c r="B23" s="40" t="s">
        <v>138</v>
      </c>
      <c r="C23" s="41">
        <v>0</v>
      </c>
    </row>
    <row r="24" spans="1:3" x14ac:dyDescent="0.25">
      <c r="A24" s="40" t="s">
        <v>60</v>
      </c>
      <c r="B24" s="40" t="s">
        <v>139</v>
      </c>
      <c r="C24" s="41">
        <v>0</v>
      </c>
    </row>
    <row r="25" spans="1:3" x14ac:dyDescent="0.25">
      <c r="A25" s="40" t="s">
        <v>62</v>
      </c>
      <c r="B25" s="40" t="s">
        <v>140</v>
      </c>
      <c r="C25" s="41">
        <v>0</v>
      </c>
    </row>
    <row r="26" spans="1:3" x14ac:dyDescent="0.25">
      <c r="A26" s="40" t="s">
        <v>141</v>
      </c>
      <c r="B26" s="40" t="s">
        <v>142</v>
      </c>
      <c r="C26" s="41">
        <v>0</v>
      </c>
    </row>
    <row r="27" spans="1:3" x14ac:dyDescent="0.25">
      <c r="A27" s="40" t="s">
        <v>94</v>
      </c>
      <c r="B27" s="40" t="s">
        <v>143</v>
      </c>
      <c r="C27" s="41">
        <v>786.47</v>
      </c>
    </row>
    <row r="28" spans="1:3" x14ac:dyDescent="0.25">
      <c r="A28" s="40" t="s">
        <v>39</v>
      </c>
      <c r="B28" s="40" t="s">
        <v>120</v>
      </c>
      <c r="C28" s="41">
        <v>134.6</v>
      </c>
    </row>
    <row r="29" spans="1:3" x14ac:dyDescent="0.25">
      <c r="A29" s="40" t="s">
        <v>63</v>
      </c>
      <c r="B29" s="40" t="s">
        <v>144</v>
      </c>
      <c r="C29" s="41">
        <v>898.42</v>
      </c>
    </row>
    <row r="30" spans="1:3" x14ac:dyDescent="0.25">
      <c r="A30" s="40" t="s">
        <v>64</v>
      </c>
      <c r="B30" s="40" t="s">
        <v>145</v>
      </c>
      <c r="C30" s="41">
        <v>0</v>
      </c>
    </row>
  </sheetData>
  <sortState ref="A3:C67">
    <sortCondition ref="B3:B6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6"/>
  <sheetViews>
    <sheetView tabSelected="1" workbookViewId="0">
      <selection activeCell="A5" sqref="A5"/>
    </sheetView>
  </sheetViews>
  <sheetFormatPr baseColWidth="10" defaultRowHeight="15" x14ac:dyDescent="0.25"/>
  <cols>
    <col min="1" max="1" width="24.5703125" bestFit="1" customWidth="1"/>
    <col min="2" max="2" width="11.5703125" bestFit="1" customWidth="1"/>
  </cols>
  <sheetData>
    <row r="1" spans="1:3" x14ac:dyDescent="0.25">
      <c r="A1" s="233" t="s">
        <v>307</v>
      </c>
      <c r="B1" s="233"/>
      <c r="C1" s="234"/>
    </row>
    <row r="2" spans="1:3" x14ac:dyDescent="0.25">
      <c r="A2" s="233" t="s">
        <v>308</v>
      </c>
      <c r="B2" s="233"/>
      <c r="C2" s="234"/>
    </row>
    <row r="3" spans="1:3" x14ac:dyDescent="0.25">
      <c r="A3" s="233" t="s">
        <v>309</v>
      </c>
      <c r="B3" s="235" t="s">
        <v>315</v>
      </c>
      <c r="C3" s="234"/>
    </row>
    <row r="4" spans="1:3" x14ac:dyDescent="0.25">
      <c r="A4" s="233" t="s">
        <v>252</v>
      </c>
      <c r="B4" s="235"/>
      <c r="C4" s="234"/>
    </row>
    <row r="5" spans="1:3" x14ac:dyDescent="0.25">
      <c r="A5" s="234"/>
      <c r="B5" s="234"/>
      <c r="C5" s="234"/>
    </row>
    <row r="6" spans="1:3" x14ac:dyDescent="0.25">
      <c r="A6" s="234" t="s">
        <v>310</v>
      </c>
      <c r="B6" s="234" t="s">
        <v>311</v>
      </c>
      <c r="C6" s="234"/>
    </row>
    <row r="7" spans="1:3" x14ac:dyDescent="0.25">
      <c r="A7" s="236" t="s">
        <v>304</v>
      </c>
      <c r="B7" s="237">
        <v>226373.58</v>
      </c>
      <c r="C7" s="236"/>
    </row>
    <row r="8" spans="1:3" x14ac:dyDescent="0.25">
      <c r="A8" s="236" t="s">
        <v>303</v>
      </c>
      <c r="B8" s="238">
        <v>10973.16</v>
      </c>
      <c r="C8" s="236"/>
    </row>
    <row r="9" spans="1:3" x14ac:dyDescent="0.25">
      <c r="A9" s="236" t="s">
        <v>312</v>
      </c>
      <c r="B9" s="237"/>
      <c r="C9" s="236"/>
    </row>
    <row r="10" spans="1:3" x14ac:dyDescent="0.25">
      <c r="A10" s="236" t="s">
        <v>306</v>
      </c>
      <c r="B10" s="237">
        <v>1935.23</v>
      </c>
      <c r="C10" s="236"/>
    </row>
    <row r="11" spans="1:3" x14ac:dyDescent="0.25">
      <c r="A11" s="236" t="s">
        <v>313</v>
      </c>
      <c r="B11" s="237"/>
      <c r="C11" s="236"/>
    </row>
    <row r="12" spans="1:3" x14ac:dyDescent="0.25">
      <c r="A12" s="236" t="s">
        <v>305</v>
      </c>
      <c r="B12" s="237">
        <v>10143.81</v>
      </c>
      <c r="C12" s="236"/>
    </row>
    <row r="13" spans="1:3" ht="15.75" thickBot="1" x14ac:dyDescent="0.3">
      <c r="A13" s="236" t="s">
        <v>314</v>
      </c>
      <c r="B13" s="239"/>
      <c r="C13" s="236"/>
    </row>
    <row r="14" spans="1:3" x14ac:dyDescent="0.25">
      <c r="A14" s="236"/>
      <c r="B14" s="240">
        <f>SUM(B7:B13)</f>
        <v>249425.78</v>
      </c>
      <c r="C14" s="236"/>
    </row>
    <row r="15" spans="1:3" ht="15.75" thickBot="1" x14ac:dyDescent="0.3">
      <c r="A15" s="236"/>
      <c r="B15" s="241">
        <f>B14*0.16</f>
        <v>39908.124799999998</v>
      </c>
      <c r="C15" s="236"/>
    </row>
    <row r="16" spans="1:3" ht="15.75" thickTop="1" x14ac:dyDescent="0.25">
      <c r="A16" s="236"/>
      <c r="B16" s="242">
        <f>+B14+B15</f>
        <v>289333.90480000002</v>
      </c>
      <c r="C16" s="23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INCIDENCIAS</vt:lpstr>
      <vt:lpstr>FACTURACIÓN</vt:lpstr>
      <vt:lpstr>C&amp;A</vt:lpstr>
      <vt:lpstr>SINDICATO</vt:lpstr>
      <vt:lpstr>Hoja3</vt:lpstr>
      <vt:lpstr>Hoja1</vt:lpstr>
      <vt:lpstr>INFONAVIT</vt:lpstr>
      <vt:lpstr>DESGLOSE</vt:lpstr>
      <vt:lpstr>FACTURACIÓN!Área_de_impresión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ljimenez</cp:lastModifiedBy>
  <cp:lastPrinted>2016-03-10T21:24:03Z</cp:lastPrinted>
  <dcterms:created xsi:type="dcterms:W3CDTF">2016-01-16T18:25:25Z</dcterms:created>
  <dcterms:modified xsi:type="dcterms:W3CDTF">2016-03-10T21:24:20Z</dcterms:modified>
</cp:coreProperties>
</file>