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NOMINA\2016\CONSULTORES\QUINCENAL\"/>
    </mc:Choice>
  </mc:AlternateContent>
  <bookViews>
    <workbookView xWindow="0" yWindow="0" windowWidth="28800" windowHeight="11445" tabRatio="750" activeTab="5"/>
  </bookViews>
  <sheets>
    <sheet name="Hoja1" sheetId="12" r:id="rId1"/>
    <sheet name="FACTURACIÓN" sheetId="8" r:id="rId2"/>
    <sheet name="C&amp;A" sheetId="4" r:id="rId3"/>
    <sheet name="SINDICATO" sheetId="2" r:id="rId4"/>
    <sheet name="diferencias" sheetId="9" r:id="rId5"/>
    <sheet name="DESGLOSE" sheetId="13" r:id="rId6"/>
  </sheets>
  <definedNames>
    <definedName name="_xlnm._FilterDatabase" localSheetId="1" hidden="1">FACTURACIÓN!$A$8:$BX$68</definedName>
    <definedName name="_xlnm.Print_Area" localSheetId="4">diferencias!$A$1:$I$68</definedName>
    <definedName name="_xlnm.Print_Area" localSheetId="1">FACTURACIÓN!$A$1:$S$64</definedName>
  </definedNames>
  <calcPr calcId="152511"/>
</workbook>
</file>

<file path=xl/calcChain.xml><?xml version="1.0" encoding="utf-8"?>
<calcChain xmlns="http://schemas.openxmlformats.org/spreadsheetml/2006/main">
  <c r="B13" i="13" l="1"/>
  <c r="B14" i="13" s="1"/>
  <c r="B15" i="13" s="1"/>
  <c r="BK25" i="8" l="1"/>
  <c r="BL25" i="8" s="1"/>
  <c r="O25" i="8" s="1"/>
  <c r="Q25" i="8" s="1"/>
  <c r="V64" i="8"/>
  <c r="W64" i="8"/>
  <c r="X64" i="8"/>
  <c r="Y64" i="8"/>
  <c r="Z64" i="8"/>
  <c r="AA64" i="8"/>
  <c r="AB64" i="8"/>
  <c r="AC64" i="8"/>
  <c r="AE64" i="8"/>
  <c r="AF64" i="8"/>
  <c r="AG64" i="8"/>
  <c r="AH64" i="8"/>
  <c r="AJ64" i="8"/>
  <c r="AK64" i="8"/>
  <c r="AL64" i="8"/>
  <c r="AM64" i="8"/>
  <c r="AN64" i="8"/>
  <c r="AU64" i="8"/>
  <c r="AV64" i="8"/>
  <c r="AW64" i="8"/>
  <c r="AX64" i="8"/>
  <c r="AY64" i="8"/>
  <c r="AZ64" i="8"/>
  <c r="BA64" i="8"/>
  <c r="BB64" i="8"/>
  <c r="BC64" i="8"/>
  <c r="BD64" i="8"/>
  <c r="BE64" i="8"/>
  <c r="BF64" i="8"/>
  <c r="BG64" i="8"/>
  <c r="BH64" i="8"/>
  <c r="BI64" i="8"/>
  <c r="BJ64" i="8"/>
  <c r="BN64" i="8"/>
  <c r="BO64" i="8"/>
  <c r="BP64" i="8"/>
  <c r="BQ64" i="8"/>
  <c r="BR64" i="8"/>
  <c r="BS64" i="8"/>
  <c r="BT64" i="8"/>
  <c r="BU25" i="8"/>
  <c r="BU32" i="8"/>
  <c r="BU39" i="8"/>
  <c r="BU40" i="8"/>
  <c r="F68" i="4"/>
  <c r="C68" i="4"/>
  <c r="I68" i="2"/>
  <c r="U65" i="8" s="1"/>
  <c r="I64" i="8"/>
  <c r="K64" i="8"/>
  <c r="C26" i="2" l="1"/>
  <c r="C33" i="2"/>
  <c r="C40" i="2"/>
  <c r="C41" i="2"/>
  <c r="J11" i="2"/>
  <c r="J12" i="2"/>
  <c r="J13" i="2"/>
  <c r="J14" i="2"/>
  <c r="J15" i="2"/>
  <c r="J16" i="2"/>
  <c r="J17" i="2"/>
  <c r="J18" i="2"/>
  <c r="J19" i="2"/>
  <c r="J20" i="2"/>
  <c r="J21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10" i="2"/>
  <c r="G19" i="8"/>
  <c r="F19" i="8"/>
  <c r="F11" i="8"/>
  <c r="G11" i="8"/>
  <c r="G64" i="8" l="1"/>
  <c r="J68" i="2"/>
  <c r="F64" i="8"/>
  <c r="AI47" i="8"/>
  <c r="B4" i="2"/>
  <c r="B4" i="4"/>
  <c r="BM25" i="8"/>
  <c r="G26" i="2" s="1"/>
  <c r="C67" i="9"/>
  <c r="G49" i="4"/>
  <c r="H49" i="4" s="1"/>
  <c r="D49" i="4"/>
  <c r="E49" i="4"/>
  <c r="E43" i="4"/>
  <c r="G43" i="4" s="1"/>
  <c r="D43" i="4"/>
  <c r="H43" i="4" l="1"/>
  <c r="H10" i="2"/>
  <c r="H11" i="2" l="1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J37" i="8"/>
  <c r="J20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3" i="8"/>
  <c r="E34" i="8"/>
  <c r="E35" i="8"/>
  <c r="E36" i="8"/>
  <c r="E37" i="8"/>
  <c r="E38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9" i="8"/>
  <c r="P10" i="8"/>
  <c r="P11" i="8"/>
  <c r="P12" i="8"/>
  <c r="P13" i="8"/>
  <c r="P14" i="8"/>
  <c r="P15" i="8"/>
  <c r="P17" i="8"/>
  <c r="P18" i="8"/>
  <c r="P20" i="8"/>
  <c r="P21" i="8"/>
  <c r="P22" i="8"/>
  <c r="P23" i="8"/>
  <c r="P24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9" i="8"/>
  <c r="F74" i="2"/>
  <c r="E74" i="2"/>
  <c r="K74" i="2" s="1"/>
  <c r="O2" i="2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70" i="4"/>
  <c r="D64" i="8"/>
  <c r="C64" i="8"/>
  <c r="H10" i="8"/>
  <c r="H11" i="8"/>
  <c r="E12" i="2" s="1"/>
  <c r="H12" i="8"/>
  <c r="H13" i="8"/>
  <c r="E14" i="2" s="1"/>
  <c r="H14" i="8"/>
  <c r="H15" i="8"/>
  <c r="E16" i="2" s="1"/>
  <c r="H16" i="8"/>
  <c r="H17" i="8"/>
  <c r="E18" i="2" s="1"/>
  <c r="H18" i="8"/>
  <c r="H19" i="8"/>
  <c r="E20" i="2" s="1"/>
  <c r="H20" i="8"/>
  <c r="H21" i="8"/>
  <c r="H22" i="8"/>
  <c r="H23" i="8"/>
  <c r="E24" i="2" s="1"/>
  <c r="H24" i="8"/>
  <c r="E26" i="2"/>
  <c r="H26" i="8"/>
  <c r="E27" i="2" s="1"/>
  <c r="H27" i="8"/>
  <c r="E28" i="2" s="1"/>
  <c r="H28" i="8"/>
  <c r="H29" i="8"/>
  <c r="E30" i="2" s="1"/>
  <c r="H30" i="8"/>
  <c r="H31" i="8"/>
  <c r="E32" i="2" s="1"/>
  <c r="H32" i="8"/>
  <c r="H33" i="8"/>
  <c r="E34" i="2" s="1"/>
  <c r="H34" i="8"/>
  <c r="H35" i="8"/>
  <c r="E36" i="2" s="1"/>
  <c r="H36" i="8"/>
  <c r="H37" i="8"/>
  <c r="E38" i="2" s="1"/>
  <c r="H38" i="8"/>
  <c r="H39" i="8"/>
  <c r="H40" i="8"/>
  <c r="H41" i="8"/>
  <c r="E42" i="2" s="1"/>
  <c r="H42" i="8"/>
  <c r="H43" i="8"/>
  <c r="E44" i="2" s="1"/>
  <c r="H44" i="8"/>
  <c r="H45" i="8"/>
  <c r="E46" i="2" s="1"/>
  <c r="H46" i="8"/>
  <c r="H47" i="8"/>
  <c r="E48" i="2" s="1"/>
  <c r="H48" i="8"/>
  <c r="H49" i="8"/>
  <c r="E50" i="2" s="1"/>
  <c r="H50" i="8"/>
  <c r="H51" i="8"/>
  <c r="E52" i="2" s="1"/>
  <c r="H52" i="8"/>
  <c r="H53" i="8"/>
  <c r="E54" i="2" s="1"/>
  <c r="H54" i="8"/>
  <c r="H55" i="8"/>
  <c r="E56" i="2" s="1"/>
  <c r="H56" i="8"/>
  <c r="H57" i="8"/>
  <c r="E58" i="2" s="1"/>
  <c r="H58" i="8"/>
  <c r="H59" i="8"/>
  <c r="E60" i="2" s="1"/>
  <c r="H60" i="8"/>
  <c r="H61" i="8"/>
  <c r="E62" i="2" s="1"/>
  <c r="H62" i="8"/>
  <c r="H63" i="8"/>
  <c r="E64" i="2" s="1"/>
  <c r="H9" i="8"/>
  <c r="L10" i="8"/>
  <c r="F11" i="2" s="1"/>
  <c r="L11" i="8"/>
  <c r="F12" i="2" s="1"/>
  <c r="L12" i="8"/>
  <c r="F13" i="2" s="1"/>
  <c r="L13" i="8"/>
  <c r="F14" i="2" s="1"/>
  <c r="L14" i="8"/>
  <c r="F15" i="2" s="1"/>
  <c r="L15" i="8"/>
  <c r="F16" i="2" s="1"/>
  <c r="L16" i="8"/>
  <c r="F17" i="2" s="1"/>
  <c r="L17" i="8"/>
  <c r="F18" i="2" s="1"/>
  <c r="L18" i="8"/>
  <c r="F19" i="2" s="1"/>
  <c r="L19" i="8"/>
  <c r="F20" i="2" s="1"/>
  <c r="L20" i="8"/>
  <c r="F21" i="2" s="1"/>
  <c r="L21" i="8"/>
  <c r="F22" i="2" s="1"/>
  <c r="L22" i="8"/>
  <c r="F23" i="2" s="1"/>
  <c r="L23" i="8"/>
  <c r="F24" i="2" s="1"/>
  <c r="L24" i="8"/>
  <c r="F25" i="2" s="1"/>
  <c r="L25" i="8"/>
  <c r="L26" i="8"/>
  <c r="F27" i="2" s="1"/>
  <c r="L27" i="8"/>
  <c r="F28" i="2" s="1"/>
  <c r="L28" i="8"/>
  <c r="F29" i="2" s="1"/>
  <c r="L29" i="8"/>
  <c r="F30" i="2" s="1"/>
  <c r="L30" i="8"/>
  <c r="F31" i="2" s="1"/>
  <c r="L31" i="8"/>
  <c r="F32" i="2" s="1"/>
  <c r="L32" i="8"/>
  <c r="F33" i="2" s="1"/>
  <c r="L33" i="8"/>
  <c r="F34" i="2" s="1"/>
  <c r="L34" i="8"/>
  <c r="F35" i="2" s="1"/>
  <c r="L35" i="8"/>
  <c r="F36" i="2" s="1"/>
  <c r="L36" i="8"/>
  <c r="F37" i="2" s="1"/>
  <c r="L37" i="8"/>
  <c r="F38" i="2" s="1"/>
  <c r="L38" i="8"/>
  <c r="F39" i="2" s="1"/>
  <c r="L39" i="8"/>
  <c r="F40" i="2" s="1"/>
  <c r="L40" i="8"/>
  <c r="F41" i="2" s="1"/>
  <c r="L41" i="8"/>
  <c r="F42" i="2" s="1"/>
  <c r="L42" i="8"/>
  <c r="F43" i="2" s="1"/>
  <c r="L43" i="8"/>
  <c r="F44" i="2" s="1"/>
  <c r="L44" i="8"/>
  <c r="F45" i="2" s="1"/>
  <c r="L45" i="8"/>
  <c r="F46" i="2" s="1"/>
  <c r="L46" i="8"/>
  <c r="F47" i="2" s="1"/>
  <c r="L47" i="8"/>
  <c r="F48" i="2" s="1"/>
  <c r="L48" i="8"/>
  <c r="F49" i="2" s="1"/>
  <c r="L49" i="8"/>
  <c r="F50" i="2" s="1"/>
  <c r="L50" i="8"/>
  <c r="F51" i="2" s="1"/>
  <c r="L51" i="8"/>
  <c r="F52" i="2" s="1"/>
  <c r="L52" i="8"/>
  <c r="F53" i="2" s="1"/>
  <c r="L53" i="8"/>
  <c r="F54" i="2" s="1"/>
  <c r="L54" i="8"/>
  <c r="F55" i="2" s="1"/>
  <c r="L55" i="8"/>
  <c r="F56" i="2" s="1"/>
  <c r="L56" i="8"/>
  <c r="F57" i="2" s="1"/>
  <c r="L57" i="8"/>
  <c r="F58" i="2" s="1"/>
  <c r="L58" i="8"/>
  <c r="F59" i="2" s="1"/>
  <c r="L59" i="8"/>
  <c r="F60" i="2" s="1"/>
  <c r="L60" i="8"/>
  <c r="F61" i="2" s="1"/>
  <c r="L61" i="8"/>
  <c r="F62" i="2" s="1"/>
  <c r="L62" i="8"/>
  <c r="F63" i="2" s="1"/>
  <c r="L63" i="8"/>
  <c r="F64" i="2" s="1"/>
  <c r="L9" i="8"/>
  <c r="H64" i="8" l="1"/>
  <c r="F26" i="2"/>
  <c r="BK40" i="8"/>
  <c r="BK32" i="8"/>
  <c r="BU62" i="8"/>
  <c r="BK62" i="8"/>
  <c r="C63" i="2"/>
  <c r="BU58" i="8"/>
  <c r="BK58" i="8"/>
  <c r="C59" i="2"/>
  <c r="BK54" i="8"/>
  <c r="BU54" i="8"/>
  <c r="C55" i="2"/>
  <c r="BK50" i="8"/>
  <c r="BU50" i="8"/>
  <c r="C51" i="2"/>
  <c r="BK46" i="8"/>
  <c r="BU46" i="8"/>
  <c r="C47" i="2"/>
  <c r="BK42" i="8"/>
  <c r="BU42" i="8"/>
  <c r="C43" i="2"/>
  <c r="BK36" i="8"/>
  <c r="BU36" i="8"/>
  <c r="C37" i="2"/>
  <c r="BK31" i="8"/>
  <c r="BU31" i="8"/>
  <c r="C32" i="2"/>
  <c r="BK27" i="8"/>
  <c r="BU27" i="8"/>
  <c r="C28" i="2"/>
  <c r="BU22" i="8"/>
  <c r="BK22" i="8"/>
  <c r="C23" i="2"/>
  <c r="BK18" i="8"/>
  <c r="BU18" i="8"/>
  <c r="C19" i="2"/>
  <c r="BU14" i="8"/>
  <c r="BK14" i="8"/>
  <c r="C15" i="2"/>
  <c r="BK10" i="8"/>
  <c r="BU10" i="8"/>
  <c r="C11" i="2"/>
  <c r="BK61" i="8"/>
  <c r="BU61" i="8"/>
  <c r="C62" i="2"/>
  <c r="BK57" i="8"/>
  <c r="BU57" i="8"/>
  <c r="C58" i="2"/>
  <c r="D58" i="2" s="1"/>
  <c r="BV57" i="8" s="1"/>
  <c r="BU53" i="8"/>
  <c r="BK53" i="8"/>
  <c r="C54" i="2"/>
  <c r="BK49" i="8"/>
  <c r="BU49" i="8"/>
  <c r="C50" i="2"/>
  <c r="BU45" i="8"/>
  <c r="BK45" i="8"/>
  <c r="C46" i="2"/>
  <c r="BK41" i="8"/>
  <c r="BU41" i="8"/>
  <c r="C42" i="2"/>
  <c r="BK35" i="8"/>
  <c r="BU35" i="8"/>
  <c r="C36" i="2"/>
  <c r="BU30" i="8"/>
  <c r="BK30" i="8"/>
  <c r="C31" i="2"/>
  <c r="BK26" i="8"/>
  <c r="BU26" i="8"/>
  <c r="C27" i="2"/>
  <c r="BU21" i="8"/>
  <c r="BK21" i="8"/>
  <c r="C22" i="2"/>
  <c r="BK17" i="8"/>
  <c r="BU17" i="8"/>
  <c r="C18" i="2"/>
  <c r="BU13" i="8"/>
  <c r="BK13" i="8"/>
  <c r="C14" i="2"/>
  <c r="J64" i="8"/>
  <c r="BK9" i="8"/>
  <c r="BU9" i="8"/>
  <c r="E64" i="8"/>
  <c r="P65" i="8" s="1"/>
  <c r="C10" i="2"/>
  <c r="BK60" i="8"/>
  <c r="BU60" i="8"/>
  <c r="C61" i="2"/>
  <c r="BK56" i="8"/>
  <c r="BU56" i="8"/>
  <c r="C57" i="2"/>
  <c r="BK52" i="8"/>
  <c r="BU52" i="8"/>
  <c r="C53" i="2"/>
  <c r="BK48" i="8"/>
  <c r="BU48" i="8"/>
  <c r="C49" i="2"/>
  <c r="BK44" i="8"/>
  <c r="BU44" i="8"/>
  <c r="C45" i="2"/>
  <c r="BK38" i="8"/>
  <c r="BU38" i="8"/>
  <c r="C39" i="2"/>
  <c r="BK34" i="8"/>
  <c r="BU34" i="8"/>
  <c r="C35" i="2"/>
  <c r="BU29" i="8"/>
  <c r="BK29" i="8"/>
  <c r="C30" i="2"/>
  <c r="BK24" i="8"/>
  <c r="BU24" i="8"/>
  <c r="C25" i="2"/>
  <c r="BK20" i="8"/>
  <c r="BL20" i="8" s="1"/>
  <c r="O20" i="8" s="1"/>
  <c r="Q20" i="8" s="1"/>
  <c r="BU20" i="8"/>
  <c r="C21" i="2"/>
  <c r="BK16" i="8"/>
  <c r="BU16" i="8"/>
  <c r="BK12" i="8"/>
  <c r="BU12" i="8"/>
  <c r="C13" i="2"/>
  <c r="L64" i="8"/>
  <c r="E40" i="2"/>
  <c r="BK39" i="8"/>
  <c r="BK63" i="8"/>
  <c r="BU63" i="8"/>
  <c r="C64" i="2"/>
  <c r="D64" i="2" s="1"/>
  <c r="BK59" i="8"/>
  <c r="BU59" i="8"/>
  <c r="C60" i="2"/>
  <c r="BK55" i="8"/>
  <c r="BU55" i="8"/>
  <c r="C56" i="2"/>
  <c r="BK51" i="8"/>
  <c r="BU51" i="8"/>
  <c r="C52" i="2"/>
  <c r="BK47" i="8"/>
  <c r="BU47" i="8"/>
  <c r="C48" i="2"/>
  <c r="BK43" i="8"/>
  <c r="BU43" i="8"/>
  <c r="C44" i="2"/>
  <c r="BU37" i="8"/>
  <c r="BK37" i="8"/>
  <c r="BL37" i="8" s="1"/>
  <c r="O37" i="8" s="1"/>
  <c r="Q37" i="8" s="1"/>
  <c r="C38" i="2"/>
  <c r="BK33" i="8"/>
  <c r="BU33" i="8"/>
  <c r="C34" i="2"/>
  <c r="BK28" i="8"/>
  <c r="BU28" i="8"/>
  <c r="C29" i="2"/>
  <c r="BK23" i="8"/>
  <c r="BU23" i="8"/>
  <c r="C24" i="2"/>
  <c r="BK19" i="8"/>
  <c r="BU19" i="8"/>
  <c r="BK15" i="8"/>
  <c r="BU15" i="8"/>
  <c r="C16" i="2"/>
  <c r="BK11" i="8"/>
  <c r="BU11" i="8"/>
  <c r="C12" i="2"/>
  <c r="H38" i="2"/>
  <c r="H21" i="2"/>
  <c r="F10" i="2"/>
  <c r="F68" i="2" s="1"/>
  <c r="E10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5" i="2"/>
  <c r="E23" i="2"/>
  <c r="E21" i="2"/>
  <c r="E19" i="2"/>
  <c r="E17" i="2"/>
  <c r="E15" i="2"/>
  <c r="E13" i="2"/>
  <c r="E11" i="2"/>
  <c r="C74" i="2"/>
  <c r="D74" i="2" s="1"/>
  <c r="L74" i="2" s="1"/>
  <c r="S67" i="8" l="1"/>
  <c r="BL43" i="8"/>
  <c r="O43" i="8" s="1"/>
  <c r="Q43" i="8" s="1"/>
  <c r="BM43" i="8"/>
  <c r="G44" i="2" s="1"/>
  <c r="BL29" i="8"/>
  <c r="O29" i="8" s="1"/>
  <c r="Q29" i="8" s="1"/>
  <c r="BM29" i="8"/>
  <c r="G30" i="2" s="1"/>
  <c r="BL26" i="8"/>
  <c r="O26" i="8" s="1"/>
  <c r="Q26" i="8" s="1"/>
  <c r="BM26" i="8"/>
  <c r="G27" i="2" s="1"/>
  <c r="K27" i="2" s="1"/>
  <c r="BL61" i="8"/>
  <c r="O61" i="8" s="1"/>
  <c r="Q61" i="8" s="1"/>
  <c r="BM61" i="8"/>
  <c r="G62" i="2" s="1"/>
  <c r="BL19" i="8"/>
  <c r="O19" i="8" s="1"/>
  <c r="BM19" i="8"/>
  <c r="G20" i="2" s="1"/>
  <c r="BL12" i="8"/>
  <c r="O12" i="8" s="1"/>
  <c r="Q12" i="8" s="1"/>
  <c r="BM12" i="8"/>
  <c r="G13" i="2" s="1"/>
  <c r="BL13" i="8"/>
  <c r="O13" i="8" s="1"/>
  <c r="Q13" i="8" s="1"/>
  <c r="BM13" i="8"/>
  <c r="G14" i="2" s="1"/>
  <c r="BL14" i="8"/>
  <c r="O14" i="8" s="1"/>
  <c r="Q14" i="8" s="1"/>
  <c r="BM14" i="8"/>
  <c r="G15" i="2" s="1"/>
  <c r="BL59" i="8"/>
  <c r="O59" i="8" s="1"/>
  <c r="Q59" i="8" s="1"/>
  <c r="BM59" i="8"/>
  <c r="G60" i="2" s="1"/>
  <c r="BM9" i="8"/>
  <c r="G10" i="2" s="1"/>
  <c r="K10" i="2" s="1"/>
  <c r="BL9" i="8"/>
  <c r="O9" i="8" s="1"/>
  <c r="BK64" i="8"/>
  <c r="BL64" i="8" s="1"/>
  <c r="AI67" i="8"/>
  <c r="BL16" i="8"/>
  <c r="O16" i="8" s="1"/>
  <c r="BM16" i="8"/>
  <c r="G17" i="2" s="1"/>
  <c r="BL52" i="8"/>
  <c r="O52" i="8" s="1"/>
  <c r="Q52" i="8" s="1"/>
  <c r="BM52" i="8"/>
  <c r="G53" i="2" s="1"/>
  <c r="BL35" i="8"/>
  <c r="O35" i="8" s="1"/>
  <c r="Q35" i="8" s="1"/>
  <c r="BM35" i="8"/>
  <c r="G36" i="2" s="1"/>
  <c r="BL11" i="8"/>
  <c r="O11" i="8" s="1"/>
  <c r="Q11" i="8" s="1"/>
  <c r="BM11" i="8"/>
  <c r="G12" i="2" s="1"/>
  <c r="BL28" i="8"/>
  <c r="O28" i="8" s="1"/>
  <c r="Q28" i="8" s="1"/>
  <c r="BM28" i="8"/>
  <c r="G29" i="2" s="1"/>
  <c r="BL33" i="8"/>
  <c r="O33" i="8" s="1"/>
  <c r="Q33" i="8" s="1"/>
  <c r="BM33" i="8"/>
  <c r="G34" i="2" s="1"/>
  <c r="BL51" i="8"/>
  <c r="O51" i="8" s="1"/>
  <c r="Q51" i="8" s="1"/>
  <c r="BM51" i="8"/>
  <c r="G52" i="2" s="1"/>
  <c r="BV63" i="8"/>
  <c r="BW63" i="8" s="1"/>
  <c r="BL24" i="8"/>
  <c r="O24" i="8" s="1"/>
  <c r="Q24" i="8" s="1"/>
  <c r="BM24" i="8"/>
  <c r="G25" i="2" s="1"/>
  <c r="BL44" i="8"/>
  <c r="O44" i="8" s="1"/>
  <c r="Q44" i="8" s="1"/>
  <c r="BM44" i="8"/>
  <c r="G45" i="2" s="1"/>
  <c r="BL60" i="8"/>
  <c r="O60" i="8" s="1"/>
  <c r="Q60" i="8" s="1"/>
  <c r="BM60" i="8"/>
  <c r="G61" i="2" s="1"/>
  <c r="BU64" i="8"/>
  <c r="BL17" i="8"/>
  <c r="O17" i="8" s="1"/>
  <c r="Q17" i="8" s="1"/>
  <c r="BM17" i="8"/>
  <c r="G18" i="2" s="1"/>
  <c r="BL21" i="8"/>
  <c r="O21" i="8" s="1"/>
  <c r="Q21" i="8" s="1"/>
  <c r="BM21" i="8"/>
  <c r="G22" i="2" s="1"/>
  <c r="BL36" i="8"/>
  <c r="O36" i="8" s="1"/>
  <c r="Q36" i="8" s="1"/>
  <c r="BM36" i="8"/>
  <c r="G37" i="2" s="1"/>
  <c r="BL40" i="8"/>
  <c r="O40" i="8" s="1"/>
  <c r="Q40" i="8" s="1"/>
  <c r="BM40" i="8"/>
  <c r="G41" i="2" s="1"/>
  <c r="H68" i="2"/>
  <c r="BL15" i="8"/>
  <c r="O15" i="8" s="1"/>
  <c r="Q15" i="8" s="1"/>
  <c r="BM15" i="8"/>
  <c r="G16" i="2" s="1"/>
  <c r="BL55" i="8"/>
  <c r="O55" i="8" s="1"/>
  <c r="Q55" i="8" s="1"/>
  <c r="BM55" i="8"/>
  <c r="G56" i="2" s="1"/>
  <c r="BL34" i="8"/>
  <c r="O34" i="8" s="1"/>
  <c r="Q34" i="8" s="1"/>
  <c r="BM34" i="8"/>
  <c r="G35" i="2" s="1"/>
  <c r="BL38" i="8"/>
  <c r="O38" i="8" s="1"/>
  <c r="Q38" i="8" s="1"/>
  <c r="R38" i="8" s="1"/>
  <c r="S38" i="8" s="1"/>
  <c r="BM38" i="8"/>
  <c r="G39" i="2" s="1"/>
  <c r="BL48" i="8"/>
  <c r="O48" i="8" s="1"/>
  <c r="Q48" i="8" s="1"/>
  <c r="BM48" i="8"/>
  <c r="G49" i="2" s="1"/>
  <c r="BL45" i="8"/>
  <c r="O45" i="8" s="1"/>
  <c r="Q45" i="8" s="1"/>
  <c r="BM45" i="8"/>
  <c r="G46" i="2" s="1"/>
  <c r="BL49" i="8"/>
  <c r="O49" i="8" s="1"/>
  <c r="Q49" i="8" s="1"/>
  <c r="BM49" i="8"/>
  <c r="G50" i="2" s="1"/>
  <c r="BW57" i="8"/>
  <c r="BL46" i="8"/>
  <c r="O46" i="8" s="1"/>
  <c r="Q46" i="8" s="1"/>
  <c r="BM46" i="8"/>
  <c r="G47" i="2" s="1"/>
  <c r="BL32" i="8"/>
  <c r="O32" i="8" s="1"/>
  <c r="Q32" i="8" s="1"/>
  <c r="BM32" i="8"/>
  <c r="G33" i="2" s="1"/>
  <c r="BL27" i="8"/>
  <c r="O27" i="8" s="1"/>
  <c r="Q27" i="8" s="1"/>
  <c r="BM27" i="8"/>
  <c r="G28" i="2" s="1"/>
  <c r="BL50" i="8"/>
  <c r="O50" i="8" s="1"/>
  <c r="Q50" i="8" s="1"/>
  <c r="BM50" i="8"/>
  <c r="G51" i="2" s="1"/>
  <c r="BL58" i="8"/>
  <c r="O58" i="8" s="1"/>
  <c r="Q58" i="8" s="1"/>
  <c r="BM58" i="8"/>
  <c r="G59" i="2" s="1"/>
  <c r="BL23" i="8"/>
  <c r="O23" i="8" s="1"/>
  <c r="Q23" i="8" s="1"/>
  <c r="BM23" i="8"/>
  <c r="G24" i="2" s="1"/>
  <c r="BL47" i="8"/>
  <c r="O47" i="8" s="1"/>
  <c r="Q47" i="8" s="1"/>
  <c r="BM47" i="8"/>
  <c r="G48" i="2" s="1"/>
  <c r="BL63" i="8"/>
  <c r="O63" i="8" s="1"/>
  <c r="Q63" i="8" s="1"/>
  <c r="BM63" i="8"/>
  <c r="G64" i="2" s="1"/>
  <c r="K64" i="2" s="1"/>
  <c r="L64" i="2" s="1"/>
  <c r="BL39" i="8"/>
  <c r="O39" i="8" s="1"/>
  <c r="Q39" i="8" s="1"/>
  <c r="BM39" i="8"/>
  <c r="G40" i="2" s="1"/>
  <c r="BL56" i="8"/>
  <c r="O56" i="8" s="1"/>
  <c r="Q56" i="8" s="1"/>
  <c r="BM56" i="8"/>
  <c r="G57" i="2" s="1"/>
  <c r="BL30" i="8"/>
  <c r="O30" i="8" s="1"/>
  <c r="Q30" i="8" s="1"/>
  <c r="BM30" i="8"/>
  <c r="G31" i="2" s="1"/>
  <c r="BL41" i="8"/>
  <c r="O41" i="8" s="1"/>
  <c r="Q41" i="8" s="1"/>
  <c r="BM41" i="8"/>
  <c r="G42" i="2" s="1"/>
  <c r="BL53" i="8"/>
  <c r="O53" i="8" s="1"/>
  <c r="Q53" i="8" s="1"/>
  <c r="BM53" i="8"/>
  <c r="G54" i="2" s="1"/>
  <c r="BL57" i="8"/>
  <c r="O57" i="8" s="1"/>
  <c r="Q57" i="8" s="1"/>
  <c r="BM57" i="8"/>
  <c r="G58" i="2" s="1"/>
  <c r="BL10" i="8"/>
  <c r="O10" i="8" s="1"/>
  <c r="Q10" i="8" s="1"/>
  <c r="BM10" i="8"/>
  <c r="G11" i="2" s="1"/>
  <c r="BL18" i="8"/>
  <c r="O18" i="8" s="1"/>
  <c r="Q18" i="8" s="1"/>
  <c r="BM18" i="8"/>
  <c r="G19" i="2" s="1"/>
  <c r="BL22" i="8"/>
  <c r="O22" i="8" s="1"/>
  <c r="Q22" i="8" s="1"/>
  <c r="BM22" i="8"/>
  <c r="G23" i="2" s="1"/>
  <c r="BL31" i="8"/>
  <c r="O31" i="8" s="1"/>
  <c r="Q31" i="8" s="1"/>
  <c r="BM31" i="8"/>
  <c r="G32" i="2" s="1"/>
  <c r="BL42" i="8"/>
  <c r="O42" i="8" s="1"/>
  <c r="Q42" i="8" s="1"/>
  <c r="BM42" i="8"/>
  <c r="G43" i="2" s="1"/>
  <c r="BL54" i="8"/>
  <c r="O54" i="8" s="1"/>
  <c r="Q54" i="8" s="1"/>
  <c r="BM54" i="8"/>
  <c r="G55" i="2" s="1"/>
  <c r="BL62" i="8"/>
  <c r="O62" i="8" s="1"/>
  <c r="Q62" i="8" s="1"/>
  <c r="BM62" i="8"/>
  <c r="G63" i="2" s="1"/>
  <c r="E68" i="2"/>
  <c r="BM37" i="8"/>
  <c r="G38" i="2" s="1"/>
  <c r="BM20" i="8"/>
  <c r="G21" i="2" s="1"/>
  <c r="O64" i="8" l="1"/>
  <c r="Q9" i="8"/>
  <c r="BM64" i="8"/>
  <c r="AS71" i="8"/>
  <c r="AD71" i="8"/>
  <c r="AI71" i="8" s="1"/>
  <c r="R9" i="8" l="1"/>
  <c r="S9" i="8" s="1"/>
  <c r="AO71" i="8"/>
  <c r="AQ71" i="8" s="1"/>
  <c r="AR71" i="8"/>
  <c r="AT71" i="8" s="1"/>
  <c r="AN66" i="8" l="1"/>
  <c r="AM66" i="8"/>
  <c r="AL66" i="8"/>
  <c r="AK66" i="8"/>
  <c r="AJ66" i="8"/>
  <c r="AH66" i="8"/>
  <c r="AG66" i="8"/>
  <c r="AF66" i="8"/>
  <c r="AE66" i="8"/>
  <c r="AS63" i="8"/>
  <c r="AD63" i="8"/>
  <c r="AI63" i="8" s="1"/>
  <c r="AS62" i="8"/>
  <c r="AD62" i="8"/>
  <c r="AI62" i="8" s="1"/>
  <c r="AS61" i="8"/>
  <c r="AD61" i="8"/>
  <c r="AI61" i="8" s="1"/>
  <c r="AS60" i="8"/>
  <c r="AD60" i="8"/>
  <c r="AI60" i="8" s="1"/>
  <c r="AS59" i="8"/>
  <c r="AD59" i="8"/>
  <c r="AI59" i="8" s="1"/>
  <c r="AS58" i="8"/>
  <c r="AD58" i="8"/>
  <c r="AI58" i="8" s="1"/>
  <c r="AO58" i="8" s="1"/>
  <c r="AS57" i="8"/>
  <c r="AD57" i="8"/>
  <c r="AI57" i="8" s="1"/>
  <c r="AS56" i="8"/>
  <c r="AD56" i="8"/>
  <c r="AI56" i="8" s="1"/>
  <c r="AS55" i="8"/>
  <c r="AD55" i="8"/>
  <c r="AI55" i="8" s="1"/>
  <c r="AO55" i="8" s="1"/>
  <c r="AS54" i="8"/>
  <c r="AD54" i="8"/>
  <c r="AI54" i="8" s="1"/>
  <c r="AO54" i="8" s="1"/>
  <c r="AS53" i="8"/>
  <c r="AD53" i="8"/>
  <c r="AI53" i="8" s="1"/>
  <c r="AS52" i="8"/>
  <c r="AD52" i="8"/>
  <c r="AI52" i="8" s="1"/>
  <c r="AS51" i="8"/>
  <c r="AD51" i="8"/>
  <c r="AI51" i="8" s="1"/>
  <c r="AS50" i="8"/>
  <c r="AD50" i="8"/>
  <c r="AI50" i="8" s="1"/>
  <c r="AS49" i="8"/>
  <c r="AD49" i="8"/>
  <c r="AI49" i="8" s="1"/>
  <c r="AS48" i="8"/>
  <c r="AD48" i="8"/>
  <c r="AI48" i="8" s="1"/>
  <c r="AS47" i="8"/>
  <c r="AO47" i="8"/>
  <c r="AS46" i="8"/>
  <c r="AD46" i="8"/>
  <c r="AS45" i="8"/>
  <c r="AD45" i="8"/>
  <c r="AS44" i="8"/>
  <c r="AD44" i="8"/>
  <c r="AS43" i="8"/>
  <c r="AD43" i="8"/>
  <c r="AS42" i="8"/>
  <c r="AD42" i="8"/>
  <c r="AS41" i="8"/>
  <c r="AD41" i="8"/>
  <c r="AS40" i="8"/>
  <c r="AD40" i="8"/>
  <c r="AS38" i="8"/>
  <c r="AD38" i="8"/>
  <c r="AI38" i="8" s="1"/>
  <c r="AS39" i="8"/>
  <c r="AD39" i="8"/>
  <c r="AS37" i="8"/>
  <c r="AD37" i="8"/>
  <c r="AS36" i="8"/>
  <c r="AD36" i="8"/>
  <c r="AS35" i="8"/>
  <c r="AD35" i="8"/>
  <c r="AS34" i="8"/>
  <c r="AD34" i="8"/>
  <c r="AS33" i="8"/>
  <c r="AD33" i="8"/>
  <c r="AS32" i="8"/>
  <c r="AD32" i="8"/>
  <c r="AS31" i="8"/>
  <c r="AD31" i="8"/>
  <c r="AI31" i="8" s="1"/>
  <c r="AO31" i="8" s="1"/>
  <c r="AS30" i="8"/>
  <c r="AD30" i="8"/>
  <c r="AS29" i="8"/>
  <c r="AD29" i="8"/>
  <c r="AI29" i="8" s="1"/>
  <c r="AS28" i="8"/>
  <c r="AD28" i="8"/>
  <c r="AI28" i="8" s="1"/>
  <c r="AS27" i="8"/>
  <c r="AD27" i="8"/>
  <c r="AI27" i="8" s="1"/>
  <c r="AS26" i="8"/>
  <c r="AD26" i="8"/>
  <c r="AI26" i="8" s="1"/>
  <c r="AP26" i="8" s="1"/>
  <c r="M26" i="8" s="1"/>
  <c r="N26" i="8" s="1"/>
  <c r="AS25" i="8"/>
  <c r="AD25" i="8"/>
  <c r="AI25" i="8" s="1"/>
  <c r="AS24" i="8"/>
  <c r="AD24" i="8"/>
  <c r="AI24" i="8" s="1"/>
  <c r="AS23" i="8"/>
  <c r="AD23" i="8"/>
  <c r="AI23" i="8" s="1"/>
  <c r="AS22" i="8"/>
  <c r="AD22" i="8"/>
  <c r="AI22" i="8" s="1"/>
  <c r="AP22" i="8" s="1"/>
  <c r="M22" i="8" s="1"/>
  <c r="N22" i="8" s="1"/>
  <c r="AS21" i="8"/>
  <c r="AD21" i="8"/>
  <c r="AI21" i="8" s="1"/>
  <c r="AS20" i="8"/>
  <c r="AD20" i="8"/>
  <c r="AI20" i="8" s="1"/>
  <c r="AS19" i="8"/>
  <c r="AD19" i="8"/>
  <c r="AI19" i="8" s="1"/>
  <c r="AS18" i="8"/>
  <c r="AD18" i="8"/>
  <c r="AI18" i="8" s="1"/>
  <c r="AS17" i="8"/>
  <c r="AD17" i="8"/>
  <c r="AI17" i="8" s="1"/>
  <c r="AS16" i="8"/>
  <c r="AD16" i="8"/>
  <c r="AI16" i="8" s="1"/>
  <c r="AP16" i="8" s="1"/>
  <c r="M16" i="8" s="1"/>
  <c r="N16" i="8" s="1"/>
  <c r="AS15" i="8"/>
  <c r="AD15" i="8"/>
  <c r="AI15" i="8" s="1"/>
  <c r="AS14" i="8"/>
  <c r="AD14" i="8"/>
  <c r="AI14" i="8" s="1"/>
  <c r="AS13" i="8"/>
  <c r="AD13" i="8"/>
  <c r="AI13" i="8" s="1"/>
  <c r="AS12" i="8"/>
  <c r="AD12" i="8"/>
  <c r="AI12" i="8" s="1"/>
  <c r="AS11" i="8"/>
  <c r="AD11" i="8"/>
  <c r="AI11" i="8" s="1"/>
  <c r="AS10" i="8"/>
  <c r="AD10" i="8"/>
  <c r="AI10" i="8" s="1"/>
  <c r="AP10" i="8" s="1"/>
  <c r="M10" i="8" s="1"/>
  <c r="N10" i="8" s="1"/>
  <c r="AS9" i="8"/>
  <c r="AD9" i="8"/>
  <c r="I7" i="12"/>
  <c r="N69" i="12"/>
  <c r="T69" i="12" s="1"/>
  <c r="W69" i="12" s="1"/>
  <c r="T68" i="12"/>
  <c r="W68" i="12" s="1"/>
  <c r="N68" i="12"/>
  <c r="S65" i="12"/>
  <c r="R65" i="12"/>
  <c r="Q65" i="12"/>
  <c r="P65" i="12"/>
  <c r="O65" i="12"/>
  <c r="M65" i="12"/>
  <c r="L65" i="12"/>
  <c r="K65" i="12"/>
  <c r="J65" i="12"/>
  <c r="N63" i="12"/>
  <c r="W63" i="12" s="1"/>
  <c r="Y63" i="12" s="1"/>
  <c r="X62" i="12"/>
  <c r="I62" i="12"/>
  <c r="N62" i="12" s="1"/>
  <c r="T62" i="12" s="1"/>
  <c r="X61" i="12"/>
  <c r="N61" i="12"/>
  <c r="T61" i="12" s="1"/>
  <c r="I61" i="12"/>
  <c r="X60" i="12"/>
  <c r="N60" i="12"/>
  <c r="T60" i="12" s="1"/>
  <c r="I60" i="12"/>
  <c r="X59" i="12"/>
  <c r="I59" i="12"/>
  <c r="N59" i="12" s="1"/>
  <c r="T59" i="12" s="1"/>
  <c r="X58" i="12"/>
  <c r="I58" i="12"/>
  <c r="N58" i="12" s="1"/>
  <c r="T58" i="12" s="1"/>
  <c r="X57" i="12"/>
  <c r="N57" i="12"/>
  <c r="T57" i="12" s="1"/>
  <c r="I57" i="12"/>
  <c r="X56" i="12"/>
  <c r="N56" i="12"/>
  <c r="T56" i="12" s="1"/>
  <c r="I56" i="12"/>
  <c r="X55" i="12"/>
  <c r="I55" i="12"/>
  <c r="N55" i="12" s="1"/>
  <c r="T55" i="12" s="1"/>
  <c r="X54" i="12"/>
  <c r="I54" i="12"/>
  <c r="N54" i="12" s="1"/>
  <c r="T54" i="12" s="1"/>
  <c r="X53" i="12"/>
  <c r="N53" i="12"/>
  <c r="T53" i="12" s="1"/>
  <c r="I53" i="12"/>
  <c r="X52" i="12"/>
  <c r="N52" i="12"/>
  <c r="T52" i="12" s="1"/>
  <c r="I52" i="12"/>
  <c r="X51" i="12"/>
  <c r="I51" i="12"/>
  <c r="N51" i="12" s="1"/>
  <c r="T51" i="12" s="1"/>
  <c r="X50" i="12"/>
  <c r="I50" i="12"/>
  <c r="N50" i="12" s="1"/>
  <c r="T50" i="12" s="1"/>
  <c r="X49" i="12"/>
  <c r="N49" i="12"/>
  <c r="T49" i="12" s="1"/>
  <c r="I49" i="12"/>
  <c r="X48" i="12"/>
  <c r="N48" i="12"/>
  <c r="T48" i="12" s="1"/>
  <c r="I48" i="12"/>
  <c r="X47" i="12"/>
  <c r="I47" i="12"/>
  <c r="N47" i="12" s="1"/>
  <c r="T47" i="12" s="1"/>
  <c r="X46" i="12"/>
  <c r="N46" i="12"/>
  <c r="T46" i="12" s="1"/>
  <c r="X45" i="12"/>
  <c r="I45" i="12"/>
  <c r="N45" i="12" s="1"/>
  <c r="X44" i="12"/>
  <c r="I44" i="12"/>
  <c r="N44" i="12" s="1"/>
  <c r="X43" i="12"/>
  <c r="I43" i="12"/>
  <c r="N43" i="12" s="1"/>
  <c r="X42" i="12"/>
  <c r="I42" i="12"/>
  <c r="N42" i="12" s="1"/>
  <c r="X41" i="12"/>
  <c r="I41" i="12"/>
  <c r="N41" i="12" s="1"/>
  <c r="X40" i="12"/>
  <c r="I40" i="12"/>
  <c r="N40" i="12" s="1"/>
  <c r="X39" i="12"/>
  <c r="I39" i="12"/>
  <c r="N39" i="12" s="1"/>
  <c r="X38" i="12"/>
  <c r="I38" i="12"/>
  <c r="N38" i="12" s="1"/>
  <c r="X37" i="12"/>
  <c r="I37" i="12"/>
  <c r="N37" i="12" s="1"/>
  <c r="X36" i="12"/>
  <c r="I36" i="12"/>
  <c r="N36" i="12" s="1"/>
  <c r="X35" i="12"/>
  <c r="I35" i="12"/>
  <c r="N35" i="12" s="1"/>
  <c r="X34" i="12"/>
  <c r="I34" i="12"/>
  <c r="N34" i="12" s="1"/>
  <c r="X33" i="12"/>
  <c r="I33" i="12"/>
  <c r="N33" i="12" s="1"/>
  <c r="X32" i="12"/>
  <c r="I32" i="12"/>
  <c r="N32" i="12" s="1"/>
  <c r="X31" i="12"/>
  <c r="I31" i="12"/>
  <c r="N31" i="12" s="1"/>
  <c r="X30" i="12"/>
  <c r="I30" i="12"/>
  <c r="N30" i="12" s="1"/>
  <c r="X29" i="12"/>
  <c r="T29" i="12"/>
  <c r="I29" i="12"/>
  <c r="N29" i="12" s="1"/>
  <c r="X28" i="12"/>
  <c r="I28" i="12"/>
  <c r="N28" i="12" s="1"/>
  <c r="X27" i="12"/>
  <c r="I27" i="12"/>
  <c r="N27" i="12" s="1"/>
  <c r="T27" i="12" s="1"/>
  <c r="X26" i="12"/>
  <c r="N26" i="12"/>
  <c r="T26" i="12" s="1"/>
  <c r="I26" i="12"/>
  <c r="X25" i="12"/>
  <c r="N25" i="12"/>
  <c r="T25" i="12" s="1"/>
  <c r="I25" i="12"/>
  <c r="X24" i="12"/>
  <c r="I24" i="12"/>
  <c r="N24" i="12" s="1"/>
  <c r="T24" i="12" s="1"/>
  <c r="X23" i="12"/>
  <c r="I23" i="12"/>
  <c r="N23" i="12" s="1"/>
  <c r="T23" i="12" s="1"/>
  <c r="X22" i="12"/>
  <c r="N22" i="12"/>
  <c r="T22" i="12" s="1"/>
  <c r="I22" i="12"/>
  <c r="X21" i="12"/>
  <c r="N21" i="12"/>
  <c r="T21" i="12" s="1"/>
  <c r="I21" i="12"/>
  <c r="X20" i="12"/>
  <c r="I20" i="12"/>
  <c r="N20" i="12" s="1"/>
  <c r="T20" i="12" s="1"/>
  <c r="X19" i="12"/>
  <c r="I19" i="12"/>
  <c r="N19" i="12" s="1"/>
  <c r="T19" i="12" s="1"/>
  <c r="X18" i="12"/>
  <c r="N18" i="12"/>
  <c r="T18" i="12" s="1"/>
  <c r="I18" i="12"/>
  <c r="X17" i="12"/>
  <c r="N17" i="12"/>
  <c r="T17" i="12" s="1"/>
  <c r="I17" i="12"/>
  <c r="X16" i="12"/>
  <c r="I16" i="12"/>
  <c r="N16" i="12" s="1"/>
  <c r="T16" i="12" s="1"/>
  <c r="X15" i="12"/>
  <c r="I15" i="12"/>
  <c r="N15" i="12" s="1"/>
  <c r="T15" i="12" s="1"/>
  <c r="X14" i="12"/>
  <c r="N14" i="12"/>
  <c r="T14" i="12" s="1"/>
  <c r="I14" i="12"/>
  <c r="X13" i="12"/>
  <c r="N13" i="12"/>
  <c r="T13" i="12" s="1"/>
  <c r="I13" i="12"/>
  <c r="X12" i="12"/>
  <c r="I12" i="12"/>
  <c r="N12" i="12" s="1"/>
  <c r="T12" i="12" s="1"/>
  <c r="X11" i="12"/>
  <c r="I11" i="12"/>
  <c r="N11" i="12" s="1"/>
  <c r="T11" i="12" s="1"/>
  <c r="X10" i="12"/>
  <c r="N10" i="12"/>
  <c r="T10" i="12" s="1"/>
  <c r="I10" i="12"/>
  <c r="X9" i="12"/>
  <c r="N9" i="12"/>
  <c r="T9" i="12" s="1"/>
  <c r="I9" i="12"/>
  <c r="X8" i="12"/>
  <c r="I8" i="12"/>
  <c r="I65" i="12" s="1"/>
  <c r="X7" i="12"/>
  <c r="N7" i="12"/>
  <c r="AD64" i="8" l="1"/>
  <c r="AI9" i="8"/>
  <c r="N8" i="12"/>
  <c r="T8" i="12" s="1"/>
  <c r="T63" i="12"/>
  <c r="AI35" i="8"/>
  <c r="AO35" i="8" s="1"/>
  <c r="AI43" i="8"/>
  <c r="AP43" i="8" s="1"/>
  <c r="M43" i="8" s="1"/>
  <c r="N43" i="8" s="1"/>
  <c r="AI45" i="8"/>
  <c r="AR45" i="8" s="1"/>
  <c r="R45" i="8" s="1"/>
  <c r="S45" i="8" s="1"/>
  <c r="AO51" i="8"/>
  <c r="AR51" i="8"/>
  <c r="X65" i="12"/>
  <c r="AI30" i="8"/>
  <c r="AS66" i="8"/>
  <c r="AS64" i="8"/>
  <c r="AI33" i="8"/>
  <c r="AO33" i="8" s="1"/>
  <c r="AI37" i="8"/>
  <c r="AO37" i="8" s="1"/>
  <c r="AI41" i="8"/>
  <c r="AO41" i="8" s="1"/>
  <c r="AI32" i="8"/>
  <c r="AO32" i="8" s="1"/>
  <c r="AI34" i="8"/>
  <c r="AR34" i="8" s="1"/>
  <c r="R34" i="8" s="1"/>
  <c r="S34" i="8" s="1"/>
  <c r="AI36" i="8"/>
  <c r="AP36" i="8" s="1"/>
  <c r="M36" i="8" s="1"/>
  <c r="N36" i="8" s="1"/>
  <c r="AI39" i="8"/>
  <c r="AR39" i="8" s="1"/>
  <c r="R39" i="8" s="1"/>
  <c r="S39" i="8" s="1"/>
  <c r="AI40" i="8"/>
  <c r="AP40" i="8" s="1"/>
  <c r="M40" i="8" s="1"/>
  <c r="N40" i="8" s="1"/>
  <c r="AI42" i="8"/>
  <c r="AO42" i="8" s="1"/>
  <c r="AI44" i="8"/>
  <c r="AO44" i="8" s="1"/>
  <c r="AI46" i="8"/>
  <c r="AO46" i="8" s="1"/>
  <c r="AD66" i="8"/>
  <c r="AR10" i="8"/>
  <c r="AR11" i="8"/>
  <c r="AP11" i="8"/>
  <c r="M11" i="8" s="1"/>
  <c r="N11" i="8" s="1"/>
  <c r="AR12" i="8"/>
  <c r="AP12" i="8"/>
  <c r="M12" i="8" s="1"/>
  <c r="N12" i="8" s="1"/>
  <c r="AR13" i="8"/>
  <c r="AP13" i="8"/>
  <c r="M13" i="8" s="1"/>
  <c r="N13" i="8" s="1"/>
  <c r="AR14" i="8"/>
  <c r="AP14" i="8"/>
  <c r="M14" i="8" s="1"/>
  <c r="N14" i="8" s="1"/>
  <c r="AR15" i="8"/>
  <c r="AP15" i="8"/>
  <c r="M15" i="8" s="1"/>
  <c r="N15" i="8" s="1"/>
  <c r="AR16" i="8"/>
  <c r="AR17" i="8"/>
  <c r="AP17" i="8"/>
  <c r="M17" i="8" s="1"/>
  <c r="N17" i="8" s="1"/>
  <c r="AR18" i="8"/>
  <c r="AP18" i="8"/>
  <c r="M18" i="8" s="1"/>
  <c r="N18" i="8" s="1"/>
  <c r="AR19" i="8"/>
  <c r="AP19" i="8"/>
  <c r="M19" i="8" s="1"/>
  <c r="N19" i="8" s="1"/>
  <c r="AR20" i="8"/>
  <c r="R20" i="8" s="1"/>
  <c r="S20" i="8" s="1"/>
  <c r="AP20" i="8"/>
  <c r="M20" i="8" s="1"/>
  <c r="N20" i="8" s="1"/>
  <c r="AR21" i="8"/>
  <c r="AP21" i="8"/>
  <c r="M21" i="8" s="1"/>
  <c r="N21" i="8" s="1"/>
  <c r="AR22" i="8"/>
  <c r="AR23" i="8"/>
  <c r="AP23" i="8"/>
  <c r="M23" i="8" s="1"/>
  <c r="N23" i="8" s="1"/>
  <c r="AR24" i="8"/>
  <c r="AP24" i="8"/>
  <c r="M24" i="8" s="1"/>
  <c r="N24" i="8" s="1"/>
  <c r="AR25" i="8"/>
  <c r="AP25" i="8"/>
  <c r="M25" i="8" s="1"/>
  <c r="N25" i="8" s="1"/>
  <c r="AR26" i="8"/>
  <c r="R26" i="8" s="1"/>
  <c r="S26" i="8" s="1"/>
  <c r="AR27" i="8"/>
  <c r="R27" i="8" s="1"/>
  <c r="S27" i="8" s="1"/>
  <c r="AP27" i="8"/>
  <c r="M27" i="8" s="1"/>
  <c r="N27" i="8" s="1"/>
  <c r="AR28" i="8"/>
  <c r="R28" i="8" s="1"/>
  <c r="S28" i="8" s="1"/>
  <c r="AP28" i="8"/>
  <c r="M28" i="8" s="1"/>
  <c r="N28" i="8" s="1"/>
  <c r="AR29" i="8"/>
  <c r="R29" i="8" s="1"/>
  <c r="S29" i="8" s="1"/>
  <c r="AP29" i="8"/>
  <c r="M29" i="8" s="1"/>
  <c r="N29" i="8" s="1"/>
  <c r="AO38" i="8"/>
  <c r="AR38" i="8"/>
  <c r="AR48" i="8"/>
  <c r="R48" i="8" s="1"/>
  <c r="S48" i="8" s="1"/>
  <c r="AP48" i="8"/>
  <c r="M48" i="8" s="1"/>
  <c r="N48" i="8" s="1"/>
  <c r="AO48" i="8"/>
  <c r="AR49" i="8"/>
  <c r="R49" i="8" s="1"/>
  <c r="S49" i="8" s="1"/>
  <c r="AP49" i="8"/>
  <c r="M49" i="8" s="1"/>
  <c r="N49" i="8" s="1"/>
  <c r="AO49" i="8"/>
  <c r="AR50" i="8"/>
  <c r="R50" i="8" s="1"/>
  <c r="S50" i="8" s="1"/>
  <c r="AP50" i="8"/>
  <c r="M50" i="8" s="1"/>
  <c r="N50" i="8" s="1"/>
  <c r="AO50" i="8"/>
  <c r="R51" i="8"/>
  <c r="S51" i="8" s="1"/>
  <c r="AP51" i="8"/>
  <c r="M51" i="8" s="1"/>
  <c r="N51" i="8" s="1"/>
  <c r="AR52" i="8"/>
  <c r="R52" i="8" s="1"/>
  <c r="S52" i="8" s="1"/>
  <c r="AP52" i="8"/>
  <c r="M52" i="8" s="1"/>
  <c r="N52" i="8" s="1"/>
  <c r="AO52" i="8"/>
  <c r="AR53" i="8"/>
  <c r="R53" i="8" s="1"/>
  <c r="S53" i="8" s="1"/>
  <c r="AP53" i="8"/>
  <c r="M53" i="8" s="1"/>
  <c r="N53" i="8" s="1"/>
  <c r="AO53" i="8"/>
  <c r="AR54" i="8"/>
  <c r="R54" i="8" s="1"/>
  <c r="S54" i="8" s="1"/>
  <c r="AP54" i="8"/>
  <c r="M54" i="8" s="1"/>
  <c r="N54" i="8" s="1"/>
  <c r="AR55" i="8"/>
  <c r="R55" i="8" s="1"/>
  <c r="S55" i="8" s="1"/>
  <c r="AP55" i="8"/>
  <c r="M55" i="8" s="1"/>
  <c r="N55" i="8" s="1"/>
  <c r="AR56" i="8"/>
  <c r="R56" i="8" s="1"/>
  <c r="S56" i="8" s="1"/>
  <c r="AP56" i="8"/>
  <c r="M56" i="8" s="1"/>
  <c r="N56" i="8" s="1"/>
  <c r="AO56" i="8"/>
  <c r="AR57" i="8"/>
  <c r="R57" i="8" s="1"/>
  <c r="S57" i="8" s="1"/>
  <c r="AP57" i="8"/>
  <c r="M57" i="8" s="1"/>
  <c r="N57" i="8" s="1"/>
  <c r="AO57" i="8"/>
  <c r="AR58" i="8"/>
  <c r="R58" i="8" s="1"/>
  <c r="S58" i="8" s="1"/>
  <c r="AP58" i="8"/>
  <c r="M58" i="8" s="1"/>
  <c r="N58" i="8" s="1"/>
  <c r="AR59" i="8"/>
  <c r="R59" i="8" s="1"/>
  <c r="S59" i="8" s="1"/>
  <c r="AP59" i="8"/>
  <c r="M59" i="8" s="1"/>
  <c r="N59" i="8" s="1"/>
  <c r="AO59" i="8"/>
  <c r="AR60" i="8"/>
  <c r="R60" i="8" s="1"/>
  <c r="S60" i="8" s="1"/>
  <c r="AP60" i="8"/>
  <c r="M60" i="8" s="1"/>
  <c r="N60" i="8" s="1"/>
  <c r="AO60" i="8"/>
  <c r="AR61" i="8"/>
  <c r="R61" i="8" s="1"/>
  <c r="S61" i="8" s="1"/>
  <c r="AP61" i="8"/>
  <c r="M61" i="8" s="1"/>
  <c r="N61" i="8" s="1"/>
  <c r="AO61" i="8"/>
  <c r="AR62" i="8"/>
  <c r="R62" i="8" s="1"/>
  <c r="S62" i="8" s="1"/>
  <c r="AP62" i="8"/>
  <c r="M62" i="8" s="1"/>
  <c r="N62" i="8" s="1"/>
  <c r="AO62" i="8"/>
  <c r="AR63" i="8"/>
  <c r="R63" i="8" s="1"/>
  <c r="S63" i="8" s="1"/>
  <c r="AP63" i="8"/>
  <c r="M63" i="8" s="1"/>
  <c r="N63" i="8" s="1"/>
  <c r="AO63" i="8"/>
  <c r="AR31" i="8"/>
  <c r="R31" i="8" s="1"/>
  <c r="S31" i="8" s="1"/>
  <c r="AR32" i="8"/>
  <c r="R32" i="8" s="1"/>
  <c r="S32" i="8" s="1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7" i="8"/>
  <c r="AO28" i="8"/>
  <c r="AO29" i="8"/>
  <c r="AP31" i="8"/>
  <c r="M31" i="8" s="1"/>
  <c r="N31" i="8" s="1"/>
  <c r="AP33" i="8"/>
  <c r="M33" i="8" s="1"/>
  <c r="N33" i="8" s="1"/>
  <c r="AP38" i="8"/>
  <c r="M38" i="8" s="1"/>
  <c r="N38" i="8" s="1"/>
  <c r="AP47" i="8"/>
  <c r="M47" i="8" s="1"/>
  <c r="N47" i="8" s="1"/>
  <c r="AR47" i="8"/>
  <c r="R47" i="8" s="1"/>
  <c r="S47" i="8" s="1"/>
  <c r="T7" i="12"/>
  <c r="N65" i="12"/>
  <c r="W28" i="12"/>
  <c r="Y28" i="12" s="1"/>
  <c r="T28" i="12"/>
  <c r="V28" i="12" s="1"/>
  <c r="W30" i="12"/>
  <c r="Y30" i="12" s="1"/>
  <c r="U30" i="12"/>
  <c r="T30" i="12"/>
  <c r="V30" i="12" s="1"/>
  <c r="W31" i="12"/>
  <c r="Y31" i="12" s="1"/>
  <c r="U31" i="12"/>
  <c r="T31" i="12"/>
  <c r="W32" i="12"/>
  <c r="Y32" i="12" s="1"/>
  <c r="U32" i="12"/>
  <c r="T32" i="12"/>
  <c r="W33" i="12"/>
  <c r="Y33" i="12" s="1"/>
  <c r="U33" i="12"/>
  <c r="T33" i="12"/>
  <c r="V33" i="12" s="1"/>
  <c r="W34" i="12"/>
  <c r="Y34" i="12" s="1"/>
  <c r="U34" i="12"/>
  <c r="T34" i="12"/>
  <c r="V34" i="12" s="1"/>
  <c r="W35" i="12"/>
  <c r="Y35" i="12" s="1"/>
  <c r="U35" i="12"/>
  <c r="T35" i="12"/>
  <c r="W36" i="12"/>
  <c r="Y36" i="12" s="1"/>
  <c r="U36" i="12"/>
  <c r="T36" i="12"/>
  <c r="W37" i="12"/>
  <c r="Y37" i="12" s="1"/>
  <c r="U37" i="12"/>
  <c r="T37" i="12"/>
  <c r="V37" i="12" s="1"/>
  <c r="W38" i="12"/>
  <c r="Y38" i="12" s="1"/>
  <c r="U38" i="12"/>
  <c r="T38" i="12"/>
  <c r="V38" i="12" s="1"/>
  <c r="W39" i="12"/>
  <c r="Y39" i="12" s="1"/>
  <c r="U39" i="12"/>
  <c r="T39" i="12"/>
  <c r="W40" i="12"/>
  <c r="Y40" i="12" s="1"/>
  <c r="U40" i="12"/>
  <c r="T40" i="12"/>
  <c r="W41" i="12"/>
  <c r="Y41" i="12" s="1"/>
  <c r="U41" i="12"/>
  <c r="T41" i="12"/>
  <c r="V41" i="12" s="1"/>
  <c r="W42" i="12"/>
  <c r="Y42" i="12" s="1"/>
  <c r="U42" i="12"/>
  <c r="T42" i="12"/>
  <c r="V42" i="12" s="1"/>
  <c r="W43" i="12"/>
  <c r="Y43" i="12" s="1"/>
  <c r="U43" i="12"/>
  <c r="T43" i="12"/>
  <c r="W44" i="12"/>
  <c r="Y44" i="12" s="1"/>
  <c r="U44" i="12"/>
  <c r="T44" i="12"/>
  <c r="W45" i="12"/>
  <c r="Y45" i="12" s="1"/>
  <c r="U45" i="12"/>
  <c r="T45" i="12"/>
  <c r="V45" i="12" s="1"/>
  <c r="W29" i="12"/>
  <c r="Y29" i="12" s="1"/>
  <c r="U29" i="12"/>
  <c r="W7" i="12"/>
  <c r="W8" i="12"/>
  <c r="W9" i="12"/>
  <c r="Y9" i="12" s="1"/>
  <c r="W10" i="12"/>
  <c r="Y10" i="12" s="1"/>
  <c r="W11" i="12"/>
  <c r="Y11" i="12" s="1"/>
  <c r="V12" i="12"/>
  <c r="W12" i="12"/>
  <c r="Y12" i="12" s="1"/>
  <c r="W13" i="12"/>
  <c r="Y13" i="12" s="1"/>
  <c r="W14" i="12"/>
  <c r="Y14" i="12" s="1"/>
  <c r="W15" i="12"/>
  <c r="Y15" i="12" s="1"/>
  <c r="V16" i="12"/>
  <c r="W16" i="12"/>
  <c r="Y16" i="12" s="1"/>
  <c r="W17" i="12"/>
  <c r="Y17" i="12" s="1"/>
  <c r="W18" i="12"/>
  <c r="Y18" i="12" s="1"/>
  <c r="W19" i="12"/>
  <c r="Y19" i="12" s="1"/>
  <c r="V20" i="12"/>
  <c r="W20" i="12"/>
  <c r="Y20" i="12" s="1"/>
  <c r="W21" i="12"/>
  <c r="Y21" i="12" s="1"/>
  <c r="W22" i="12"/>
  <c r="Y22" i="12" s="1"/>
  <c r="W23" i="12"/>
  <c r="Y23" i="12" s="1"/>
  <c r="V24" i="12"/>
  <c r="W24" i="12"/>
  <c r="Y24" i="12" s="1"/>
  <c r="W25" i="12"/>
  <c r="Y25" i="12" s="1"/>
  <c r="W26" i="12"/>
  <c r="Y26" i="12" s="1"/>
  <c r="W27" i="12"/>
  <c r="Y27" i="12" s="1"/>
  <c r="V29" i="12"/>
  <c r="U7" i="12"/>
  <c r="U9" i="12"/>
  <c r="V9" i="12" s="1"/>
  <c r="U10" i="12"/>
  <c r="V10" i="12" s="1"/>
  <c r="U11" i="12"/>
  <c r="V11" i="12" s="1"/>
  <c r="U12" i="12"/>
  <c r="U13" i="12"/>
  <c r="V13" i="12" s="1"/>
  <c r="U14" i="12"/>
  <c r="V14" i="12" s="1"/>
  <c r="U15" i="12"/>
  <c r="V15" i="12" s="1"/>
  <c r="U16" i="12"/>
  <c r="U17" i="12"/>
  <c r="V17" i="12" s="1"/>
  <c r="U18" i="12"/>
  <c r="V18" i="12" s="1"/>
  <c r="U19" i="12"/>
  <c r="V19" i="12" s="1"/>
  <c r="U20" i="12"/>
  <c r="U21" i="12"/>
  <c r="V21" i="12" s="1"/>
  <c r="U22" i="12"/>
  <c r="V22" i="12" s="1"/>
  <c r="U23" i="12"/>
  <c r="V23" i="12" s="1"/>
  <c r="U24" i="12"/>
  <c r="U25" i="12"/>
  <c r="V25" i="12" s="1"/>
  <c r="U26" i="12"/>
  <c r="V26" i="12" s="1"/>
  <c r="U27" i="12"/>
  <c r="V27" i="12" s="1"/>
  <c r="V57" i="12"/>
  <c r="U46" i="12"/>
  <c r="V46" i="12" s="1"/>
  <c r="W46" i="12"/>
  <c r="Y46" i="12"/>
  <c r="U47" i="12"/>
  <c r="V47" i="12" s="1"/>
  <c r="W47" i="12"/>
  <c r="Y47" i="12" s="1"/>
  <c r="U48" i="12"/>
  <c r="V48" i="12" s="1"/>
  <c r="W48" i="12"/>
  <c r="Y48" i="12" s="1"/>
  <c r="U49" i="12"/>
  <c r="V49" i="12" s="1"/>
  <c r="W49" i="12"/>
  <c r="Y49" i="12" s="1"/>
  <c r="U50" i="12"/>
  <c r="V50" i="12" s="1"/>
  <c r="W50" i="12"/>
  <c r="Y50" i="12" s="1"/>
  <c r="U51" i="12"/>
  <c r="V51" i="12" s="1"/>
  <c r="W51" i="12"/>
  <c r="Y51" i="12" s="1"/>
  <c r="U52" i="12"/>
  <c r="V52" i="12" s="1"/>
  <c r="W52" i="12"/>
  <c r="Y52" i="12"/>
  <c r="U53" i="12"/>
  <c r="V53" i="12" s="1"/>
  <c r="W53" i="12"/>
  <c r="Y53" i="12" s="1"/>
  <c r="U54" i="12"/>
  <c r="V54" i="12" s="1"/>
  <c r="W54" i="12"/>
  <c r="Y54" i="12"/>
  <c r="U55" i="12"/>
  <c r="V55" i="12" s="1"/>
  <c r="W55" i="12"/>
  <c r="Y55" i="12" s="1"/>
  <c r="U56" i="12"/>
  <c r="V56" i="12" s="1"/>
  <c r="W56" i="12"/>
  <c r="Y56" i="12" s="1"/>
  <c r="U57" i="12"/>
  <c r="W57" i="12"/>
  <c r="Y57" i="12" s="1"/>
  <c r="U58" i="12"/>
  <c r="V58" i="12" s="1"/>
  <c r="W58" i="12"/>
  <c r="Y58" i="12" s="1"/>
  <c r="U59" i="12"/>
  <c r="V59" i="12" s="1"/>
  <c r="W59" i="12"/>
  <c r="Y59" i="12" s="1"/>
  <c r="U60" i="12"/>
  <c r="V60" i="12" s="1"/>
  <c r="W60" i="12"/>
  <c r="Y60" i="12"/>
  <c r="U61" i="12"/>
  <c r="V61" i="12" s="1"/>
  <c r="W61" i="12"/>
  <c r="Y61" i="12" s="1"/>
  <c r="U62" i="12"/>
  <c r="V62" i="12" s="1"/>
  <c r="W62" i="12"/>
  <c r="Y62" i="12"/>
  <c r="V68" i="12"/>
  <c r="Y68" i="12"/>
  <c r="V69" i="12"/>
  <c r="Y69" i="12"/>
  <c r="U63" i="12"/>
  <c r="U68" i="12"/>
  <c r="U69" i="12"/>
  <c r="AP32" i="8" l="1"/>
  <c r="M32" i="8" s="1"/>
  <c r="N32" i="8" s="1"/>
  <c r="AR36" i="8"/>
  <c r="R36" i="8" s="1"/>
  <c r="S36" i="8" s="1"/>
  <c r="AR35" i="8"/>
  <c r="R35" i="8" s="1"/>
  <c r="S35" i="8" s="1"/>
  <c r="AP45" i="8"/>
  <c r="M45" i="8" s="1"/>
  <c r="N45" i="8" s="1"/>
  <c r="AR44" i="8"/>
  <c r="R44" i="8" s="1"/>
  <c r="S44" i="8" s="1"/>
  <c r="AP44" i="8"/>
  <c r="M44" i="8" s="1"/>
  <c r="N44" i="8" s="1"/>
  <c r="AQ23" i="8"/>
  <c r="AR46" i="8"/>
  <c r="R46" i="8" s="1"/>
  <c r="S46" i="8" s="1"/>
  <c r="AR41" i="8"/>
  <c r="R41" i="8" s="1"/>
  <c r="S41" i="8" s="1"/>
  <c r="AQ54" i="8"/>
  <c r="AO45" i="8"/>
  <c r="AP37" i="8"/>
  <c r="M37" i="8" s="1"/>
  <c r="N37" i="8" s="1"/>
  <c r="AP42" i="8"/>
  <c r="M42" i="8" s="1"/>
  <c r="N42" i="8" s="1"/>
  <c r="AQ15" i="8"/>
  <c r="AQ11" i="8"/>
  <c r="AO36" i="8"/>
  <c r="AQ36" i="8" s="1"/>
  <c r="AP46" i="8"/>
  <c r="M46" i="8" s="1"/>
  <c r="N46" i="8" s="1"/>
  <c r="AR40" i="8"/>
  <c r="R40" i="8" s="1"/>
  <c r="S40" i="8" s="1"/>
  <c r="AR33" i="8"/>
  <c r="R33" i="8" s="1"/>
  <c r="S33" i="8" s="1"/>
  <c r="AO40" i="8"/>
  <c r="AQ40" i="8" s="1"/>
  <c r="AR42" i="8"/>
  <c r="R42" i="8" s="1"/>
  <c r="S42" i="8" s="1"/>
  <c r="AP35" i="8"/>
  <c r="M35" i="8" s="1"/>
  <c r="N35" i="8" s="1"/>
  <c r="AQ13" i="8"/>
  <c r="AR37" i="8"/>
  <c r="R37" i="8" s="1"/>
  <c r="S37" i="8" s="1"/>
  <c r="AI66" i="8"/>
  <c r="AI68" i="8" s="1"/>
  <c r="AR43" i="8"/>
  <c r="R43" i="8" s="1"/>
  <c r="S43" i="8" s="1"/>
  <c r="AO43" i="8"/>
  <c r="AQ43" i="8" s="1"/>
  <c r="U8" i="12"/>
  <c r="V8" i="12" s="1"/>
  <c r="Y8" i="12"/>
  <c r="V43" i="12"/>
  <c r="V39" i="12"/>
  <c r="V35" i="12"/>
  <c r="V31" i="12"/>
  <c r="AP41" i="8"/>
  <c r="M41" i="8" s="1"/>
  <c r="N41" i="8" s="1"/>
  <c r="AP39" i="8"/>
  <c r="M39" i="8" s="1"/>
  <c r="N39" i="8" s="1"/>
  <c r="AP34" i="8"/>
  <c r="M34" i="8" s="1"/>
  <c r="N34" i="8" s="1"/>
  <c r="AP30" i="8"/>
  <c r="M30" i="8" s="1"/>
  <c r="N30" i="8" s="1"/>
  <c r="AO39" i="8"/>
  <c r="AO34" i="8"/>
  <c r="AO30" i="8"/>
  <c r="AI64" i="8"/>
  <c r="AR9" i="8"/>
  <c r="V63" i="12"/>
  <c r="V44" i="12"/>
  <c r="V40" i="12"/>
  <c r="V36" i="12"/>
  <c r="V32" i="12"/>
  <c r="AQ25" i="8"/>
  <c r="AR30" i="8"/>
  <c r="R30" i="8" s="1"/>
  <c r="S30" i="8" s="1"/>
  <c r="S25" i="8"/>
  <c r="R24" i="8"/>
  <c r="S24" i="8" s="1"/>
  <c r="R23" i="8"/>
  <c r="S23" i="8" s="1"/>
  <c r="R15" i="8"/>
  <c r="S15" i="8" s="1"/>
  <c r="R14" i="8"/>
  <c r="S14" i="8" s="1"/>
  <c r="R13" i="8"/>
  <c r="S13" i="8" s="1"/>
  <c r="R12" i="8"/>
  <c r="S12" i="8" s="1"/>
  <c r="R11" i="8"/>
  <c r="S11" i="8" s="1"/>
  <c r="R22" i="8"/>
  <c r="S22" i="8" s="1"/>
  <c r="R21" i="8"/>
  <c r="S21" i="8" s="1"/>
  <c r="R18" i="8"/>
  <c r="S18" i="8" s="1"/>
  <c r="R17" i="8"/>
  <c r="S17" i="8" s="1"/>
  <c r="AQ29" i="8"/>
  <c r="AQ27" i="8"/>
  <c r="AQ21" i="8"/>
  <c r="AQ19" i="8"/>
  <c r="AQ17" i="8"/>
  <c r="AQ47" i="8"/>
  <c r="AQ32" i="8"/>
  <c r="AT31" i="8"/>
  <c r="AT63" i="8"/>
  <c r="K63" i="2"/>
  <c r="AT61" i="8"/>
  <c r="K61" i="2"/>
  <c r="AT59" i="8"/>
  <c r="K59" i="2"/>
  <c r="AT57" i="8"/>
  <c r="K57" i="2"/>
  <c r="AT55" i="8"/>
  <c r="K55" i="2"/>
  <c r="AT53" i="8"/>
  <c r="K53" i="2"/>
  <c r="AT51" i="8"/>
  <c r="K51" i="2"/>
  <c r="AT49" i="8"/>
  <c r="K49" i="2"/>
  <c r="AT38" i="8"/>
  <c r="K30" i="2"/>
  <c r="K29" i="2"/>
  <c r="K28" i="2"/>
  <c r="K26" i="2"/>
  <c r="K25" i="2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Q63" i="8"/>
  <c r="AQ61" i="8"/>
  <c r="AQ59" i="8"/>
  <c r="AQ57" i="8"/>
  <c r="AQ55" i="8"/>
  <c r="AQ53" i="8"/>
  <c r="AQ51" i="8"/>
  <c r="AT24" i="8"/>
  <c r="AT47" i="8"/>
  <c r="AT45" i="8"/>
  <c r="K39" i="2"/>
  <c r="AQ33" i="8"/>
  <c r="AQ31" i="8"/>
  <c r="AT39" i="8"/>
  <c r="AT36" i="8"/>
  <c r="AT34" i="8"/>
  <c r="AT32" i="8"/>
  <c r="AT62" i="8"/>
  <c r="K62" i="2"/>
  <c r="AT60" i="8"/>
  <c r="K60" i="2"/>
  <c r="AT58" i="8"/>
  <c r="K58" i="2"/>
  <c r="AT56" i="8"/>
  <c r="K56" i="2"/>
  <c r="AT54" i="8"/>
  <c r="K54" i="2"/>
  <c r="AT52" i="8"/>
  <c r="K52" i="2"/>
  <c r="AT50" i="8"/>
  <c r="K50" i="2"/>
  <c r="AT48" i="8"/>
  <c r="AT29" i="8"/>
  <c r="AT28" i="8"/>
  <c r="AT27" i="8"/>
  <c r="AT26" i="8"/>
  <c r="AT25" i="8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AQ49" i="8"/>
  <c r="AQ62" i="8"/>
  <c r="AQ60" i="8"/>
  <c r="AQ58" i="8"/>
  <c r="AQ56" i="8"/>
  <c r="AQ52" i="8"/>
  <c r="AQ50" i="8"/>
  <c r="AQ48" i="8"/>
  <c r="AP9" i="8"/>
  <c r="AO9" i="8"/>
  <c r="AQ38" i="8"/>
  <c r="AQ28" i="8"/>
  <c r="AQ26" i="8"/>
  <c r="AQ24" i="8"/>
  <c r="AQ22" i="8"/>
  <c r="AQ20" i="8"/>
  <c r="AQ18" i="8"/>
  <c r="AQ16" i="8"/>
  <c r="AQ14" i="8"/>
  <c r="AQ12" i="8"/>
  <c r="AQ10" i="8"/>
  <c r="V7" i="12"/>
  <c r="V65" i="12" s="1"/>
  <c r="T65" i="12"/>
  <c r="Y70" i="12"/>
  <c r="U65" i="12"/>
  <c r="U67" i="12" s="1"/>
  <c r="W65" i="12"/>
  <c r="Y7" i="12"/>
  <c r="AT46" i="8" l="1"/>
  <c r="AQ45" i="8"/>
  <c r="AQ37" i="8"/>
  <c r="AT35" i="8"/>
  <c r="AT41" i="8"/>
  <c r="AT44" i="8"/>
  <c r="AQ42" i="8"/>
  <c r="AQ35" i="8"/>
  <c r="AT43" i="8"/>
  <c r="AQ44" i="8"/>
  <c r="AQ34" i="8"/>
  <c r="AT40" i="8"/>
  <c r="AT33" i="8"/>
  <c r="AQ41" i="8"/>
  <c r="AQ46" i="8"/>
  <c r="AQ30" i="8"/>
  <c r="AO64" i="8"/>
  <c r="AT30" i="8"/>
  <c r="AT42" i="8"/>
  <c r="AT37" i="8"/>
  <c r="AQ39" i="8"/>
  <c r="M9" i="8"/>
  <c r="AP64" i="8"/>
  <c r="Y65" i="12"/>
  <c r="AR64" i="8"/>
  <c r="R10" i="8"/>
  <c r="AR66" i="8"/>
  <c r="AP66" i="8"/>
  <c r="K32" i="2"/>
  <c r="K34" i="2"/>
  <c r="K36" i="2"/>
  <c r="K38" i="2"/>
  <c r="K31" i="2"/>
  <c r="K33" i="2"/>
  <c r="K35" i="2"/>
  <c r="K37" i="2"/>
  <c r="K40" i="2"/>
  <c r="K41" i="2"/>
  <c r="K42" i="2"/>
  <c r="K43" i="2"/>
  <c r="K44" i="2"/>
  <c r="K45" i="2"/>
  <c r="K46" i="2"/>
  <c r="K47" i="2"/>
  <c r="K48" i="2"/>
  <c r="AO66" i="8"/>
  <c r="AQ9" i="8"/>
  <c r="AT9" i="8"/>
  <c r="Y72" i="12"/>
  <c r="Y74" i="12" s="1"/>
  <c r="Y71" i="12"/>
  <c r="G40" i="9"/>
  <c r="AT66" i="8" l="1"/>
  <c r="AT64" i="8"/>
  <c r="AQ66" i="8"/>
  <c r="AQ64" i="8"/>
  <c r="M64" i="8"/>
  <c r="N9" i="8"/>
  <c r="N64" i="8" s="1"/>
  <c r="S10" i="8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1" i="9"/>
  <c r="G42" i="9"/>
  <c r="G43" i="9"/>
  <c r="G10" i="9"/>
  <c r="G68" i="2" l="1"/>
  <c r="K68" i="2"/>
  <c r="P68" i="8"/>
  <c r="N68" i="8"/>
  <c r="Q68" i="8" l="1"/>
  <c r="R68" i="8" s="1"/>
  <c r="S68" i="8" s="1"/>
  <c r="E20" i="4" l="1"/>
  <c r="G20" i="4"/>
  <c r="D20" i="4"/>
  <c r="P19" i="8" s="1"/>
  <c r="D17" i="4"/>
  <c r="E17" i="4"/>
  <c r="E68" i="4" s="1"/>
  <c r="P16" i="8" l="1"/>
  <c r="D68" i="4"/>
  <c r="Q19" i="8"/>
  <c r="R19" i="8" s="1"/>
  <c r="S19" i="8" s="1"/>
  <c r="G17" i="4"/>
  <c r="H20" i="4"/>
  <c r="C20" i="2" l="1"/>
  <c r="H17" i="4"/>
  <c r="G68" i="4"/>
  <c r="P64" i="8"/>
  <c r="R66" i="8" s="1"/>
  <c r="Q16" i="8"/>
  <c r="D31" i="2"/>
  <c r="D48" i="2"/>
  <c r="H68" i="4" l="1"/>
  <c r="C17" i="2"/>
  <c r="C68" i="2" s="1"/>
  <c r="L48" i="2"/>
  <c r="T47" i="8" s="1"/>
  <c r="U47" i="8" s="1"/>
  <c r="BV47" i="8"/>
  <c r="BW47" i="8" s="1"/>
  <c r="Q64" i="8"/>
  <c r="R16" i="8"/>
  <c r="L31" i="2"/>
  <c r="T30" i="8" s="1"/>
  <c r="U30" i="8" s="1"/>
  <c r="BV30" i="8"/>
  <c r="BW30" i="8" s="1"/>
  <c r="D41" i="2"/>
  <c r="D25" i="2"/>
  <c r="L25" i="2" l="1"/>
  <c r="T24" i="8" s="1"/>
  <c r="U24" i="8" s="1"/>
  <c r="BV24" i="8"/>
  <c r="BW24" i="8" s="1"/>
  <c r="R64" i="8"/>
  <c r="S16" i="8"/>
  <c r="S64" i="8" s="1"/>
  <c r="L41" i="2"/>
  <c r="T40" i="8" s="1"/>
  <c r="U40" i="8" s="1"/>
  <c r="BV40" i="8"/>
  <c r="D10" i="2"/>
  <c r="L10" i="2" l="1"/>
  <c r="T9" i="8" s="1"/>
  <c r="BV9" i="8"/>
  <c r="BW9" i="8" s="1"/>
  <c r="BW40" i="8"/>
  <c r="D47" i="2"/>
  <c r="L47" i="2" l="1"/>
  <c r="T46" i="8" s="1"/>
  <c r="U46" i="8" s="1"/>
  <c r="BV46" i="8"/>
  <c r="BW46" i="8" s="1"/>
  <c r="D62" i="2"/>
  <c r="D63" i="2"/>
  <c r="D61" i="2"/>
  <c r="D59" i="2"/>
  <c r="D56" i="2"/>
  <c r="D54" i="2"/>
  <c r="D52" i="2"/>
  <c r="D45" i="2"/>
  <c r="D39" i="2"/>
  <c r="D37" i="2"/>
  <c r="D33" i="2"/>
  <c r="D28" i="2"/>
  <c r="D24" i="2"/>
  <c r="D21" i="2"/>
  <c r="D19" i="2"/>
  <c r="D15" i="2"/>
  <c r="D13" i="2"/>
  <c r="L58" i="2"/>
  <c r="T57" i="8" s="1"/>
  <c r="U57" i="8" s="1"/>
  <c r="D60" i="2"/>
  <c r="D57" i="2"/>
  <c r="D55" i="2"/>
  <c r="D53" i="2"/>
  <c r="D51" i="2"/>
  <c r="D49" i="2"/>
  <c r="D44" i="2"/>
  <c r="D40" i="2"/>
  <c r="D38" i="2"/>
  <c r="D36" i="2"/>
  <c r="D34" i="2"/>
  <c r="D32" i="2"/>
  <c r="D29" i="2"/>
  <c r="D22" i="2"/>
  <c r="D20" i="2"/>
  <c r="D18" i="2"/>
  <c r="BV17" i="8" s="1"/>
  <c r="BW17" i="8" s="1"/>
  <c r="D16" i="2"/>
  <c r="D14" i="2"/>
  <c r="D12" i="2"/>
  <c r="D17" i="2"/>
  <c r="T63" i="8"/>
  <c r="U63" i="8" s="1"/>
  <c r="L17" i="2" l="1"/>
  <c r="T16" i="8" s="1"/>
  <c r="U16" i="8" s="1"/>
  <c r="BV16" i="8"/>
  <c r="BW16" i="8" s="1"/>
  <c r="L54" i="2"/>
  <c r="T53" i="8" s="1"/>
  <c r="U53" i="8" s="1"/>
  <c r="BV53" i="8"/>
  <c r="BW53" i="8" s="1"/>
  <c r="L12" i="2"/>
  <c r="T11" i="8" s="1"/>
  <c r="U11" i="8" s="1"/>
  <c r="BV11" i="8"/>
  <c r="BW11" i="8" s="1"/>
  <c r="L20" i="2"/>
  <c r="T19" i="8" s="1"/>
  <c r="U19" i="8" s="1"/>
  <c r="BV19" i="8"/>
  <c r="BW19" i="8" s="1"/>
  <c r="L44" i="2"/>
  <c r="T43" i="8" s="1"/>
  <c r="U43" i="8" s="1"/>
  <c r="BV43" i="8"/>
  <c r="BW43" i="8" s="1"/>
  <c r="L13" i="2"/>
  <c r="T12" i="8" s="1"/>
  <c r="U12" i="8" s="1"/>
  <c r="BV12" i="8"/>
  <c r="BW12" i="8" s="1"/>
  <c r="L39" i="2"/>
  <c r="T38" i="8" s="1"/>
  <c r="U38" i="8" s="1"/>
  <c r="BV38" i="8"/>
  <c r="BW38" i="8" s="1"/>
  <c r="L56" i="2"/>
  <c r="T55" i="8" s="1"/>
  <c r="U55" i="8" s="1"/>
  <c r="BV55" i="8"/>
  <c r="BW55" i="8" s="1"/>
  <c r="L62" i="2"/>
  <c r="T61" i="8" s="1"/>
  <c r="U61" i="8" s="1"/>
  <c r="BV61" i="8"/>
  <c r="BW61" i="8" s="1"/>
  <c r="L14" i="2"/>
  <c r="T13" i="8" s="1"/>
  <c r="U13" i="8" s="1"/>
  <c r="BV13" i="8"/>
  <c r="BW13" i="8" s="1"/>
  <c r="L22" i="2"/>
  <c r="T21" i="8" s="1"/>
  <c r="U21" i="8" s="1"/>
  <c r="BV21" i="8"/>
  <c r="BW21" i="8" s="1"/>
  <c r="L36" i="2"/>
  <c r="T35" i="8" s="1"/>
  <c r="U35" i="8" s="1"/>
  <c r="BV35" i="8"/>
  <c r="BW35" i="8" s="1"/>
  <c r="L49" i="2"/>
  <c r="T48" i="8" s="1"/>
  <c r="U48" i="8" s="1"/>
  <c r="BV48" i="8"/>
  <c r="BW48" i="8" s="1"/>
  <c r="L57" i="2"/>
  <c r="T56" i="8" s="1"/>
  <c r="U56" i="8" s="1"/>
  <c r="BV56" i="8"/>
  <c r="BW56" i="8" s="1"/>
  <c r="L15" i="2"/>
  <c r="T14" i="8" s="1"/>
  <c r="U14" i="8" s="1"/>
  <c r="BV14" i="8"/>
  <c r="BW14" i="8" s="1"/>
  <c r="L28" i="2"/>
  <c r="T27" i="8" s="1"/>
  <c r="U27" i="8" s="1"/>
  <c r="BV27" i="8"/>
  <c r="BW27" i="8" s="1"/>
  <c r="L45" i="2"/>
  <c r="T44" i="8" s="1"/>
  <c r="U44" i="8" s="1"/>
  <c r="BV44" i="8"/>
  <c r="BW44" i="8" s="1"/>
  <c r="L59" i="2"/>
  <c r="T58" i="8" s="1"/>
  <c r="U58" i="8" s="1"/>
  <c r="BV58" i="8"/>
  <c r="BW58" i="8" s="1"/>
  <c r="L32" i="2"/>
  <c r="T31" i="8" s="1"/>
  <c r="U31" i="8" s="1"/>
  <c r="BV31" i="8"/>
  <c r="BW31" i="8" s="1"/>
  <c r="L53" i="2"/>
  <c r="T52" i="8" s="1"/>
  <c r="U52" i="8" s="1"/>
  <c r="BV52" i="8"/>
  <c r="BW52" i="8" s="1"/>
  <c r="L21" i="2"/>
  <c r="T20" i="8" s="1"/>
  <c r="U20" i="8" s="1"/>
  <c r="BV20" i="8"/>
  <c r="BW20" i="8" s="1"/>
  <c r="L37" i="2"/>
  <c r="T36" i="8" s="1"/>
  <c r="U36" i="8" s="1"/>
  <c r="BV36" i="8"/>
  <c r="BW36" i="8" s="1"/>
  <c r="L63" i="2"/>
  <c r="T62" i="8" s="1"/>
  <c r="U62" i="8" s="1"/>
  <c r="BV62" i="8"/>
  <c r="BW62" i="8" s="1"/>
  <c r="L34" i="2"/>
  <c r="T33" i="8" s="1"/>
  <c r="U33" i="8" s="1"/>
  <c r="BV33" i="8"/>
  <c r="BW33" i="8" s="1"/>
  <c r="L55" i="2"/>
  <c r="T54" i="8" s="1"/>
  <c r="U54" i="8" s="1"/>
  <c r="BV54" i="8"/>
  <c r="BW54" i="8" s="1"/>
  <c r="L24" i="2"/>
  <c r="T23" i="8" s="1"/>
  <c r="U23" i="8" s="1"/>
  <c r="BV23" i="8"/>
  <c r="BW23" i="8" s="1"/>
  <c r="L16" i="2"/>
  <c r="T15" i="8" s="1"/>
  <c r="U15" i="8" s="1"/>
  <c r="BV15" i="8"/>
  <c r="BW15" i="8" s="1"/>
  <c r="L29" i="2"/>
  <c r="T28" i="8" s="1"/>
  <c r="U28" i="8" s="1"/>
  <c r="BV28" i="8"/>
  <c r="BW28" i="8" s="1"/>
  <c r="L38" i="2"/>
  <c r="T37" i="8" s="1"/>
  <c r="U37" i="8" s="1"/>
  <c r="BV37" i="8"/>
  <c r="BW37" i="8" s="1"/>
  <c r="L51" i="2"/>
  <c r="T50" i="8" s="1"/>
  <c r="U50" i="8" s="1"/>
  <c r="BV50" i="8"/>
  <c r="BW50" i="8" s="1"/>
  <c r="L60" i="2"/>
  <c r="T59" i="8" s="1"/>
  <c r="U59" i="8" s="1"/>
  <c r="BV59" i="8"/>
  <c r="BW59" i="8" s="1"/>
  <c r="L19" i="2"/>
  <c r="T18" i="8" s="1"/>
  <c r="U18" i="8" s="1"/>
  <c r="BV18" i="8"/>
  <c r="BW18" i="8" s="1"/>
  <c r="L52" i="2"/>
  <c r="T51" i="8" s="1"/>
  <c r="U51" i="8" s="1"/>
  <c r="BV51" i="8"/>
  <c r="BW51" i="8" s="1"/>
  <c r="L61" i="2"/>
  <c r="T60" i="8" s="1"/>
  <c r="U60" i="8" s="1"/>
  <c r="BV60" i="8"/>
  <c r="BW60" i="8" s="1"/>
  <c r="L40" i="2"/>
  <c r="T39" i="8" s="1"/>
  <c r="U39" i="8" s="1"/>
  <c r="BV39" i="8"/>
  <c r="BW39" i="8" s="1"/>
  <c r="L33" i="2"/>
  <c r="T32" i="8" s="1"/>
  <c r="U32" i="8" s="1"/>
  <c r="BV32" i="8"/>
  <c r="U9" i="8"/>
  <c r="L18" i="2"/>
  <c r="T17" i="8" s="1"/>
  <c r="U17" i="8" s="1"/>
  <c r="D50" i="2"/>
  <c r="D30" i="2"/>
  <c r="D42" i="2"/>
  <c r="D46" i="2"/>
  <c r="D27" i="2"/>
  <c r="D43" i="2"/>
  <c r="D23" i="2"/>
  <c r="D35" i="2"/>
  <c r="D26" i="2"/>
  <c r="D11" i="2"/>
  <c r="L26" i="2" l="1"/>
  <c r="U25" i="8" s="1"/>
  <c r="BV25" i="8"/>
  <c r="BW25" i="8" s="1"/>
  <c r="L50" i="2"/>
  <c r="T49" i="8" s="1"/>
  <c r="U49" i="8" s="1"/>
  <c r="BV49" i="8"/>
  <c r="BW49" i="8" s="1"/>
  <c r="L23" i="2"/>
  <c r="T22" i="8" s="1"/>
  <c r="U22" i="8" s="1"/>
  <c r="BV22" i="8"/>
  <c r="BW22" i="8" s="1"/>
  <c r="L42" i="2"/>
  <c r="T41" i="8" s="1"/>
  <c r="U41" i="8" s="1"/>
  <c r="BV41" i="8"/>
  <c r="BW41" i="8" s="1"/>
  <c r="L27" i="2"/>
  <c r="T26" i="8" s="1"/>
  <c r="U26" i="8" s="1"/>
  <c r="BV26" i="8"/>
  <c r="BW26" i="8" s="1"/>
  <c r="L35" i="2"/>
  <c r="T34" i="8" s="1"/>
  <c r="U34" i="8" s="1"/>
  <c r="BV34" i="8"/>
  <c r="BW34" i="8" s="1"/>
  <c r="L46" i="2"/>
  <c r="T45" i="8" s="1"/>
  <c r="U45" i="8" s="1"/>
  <c r="BV45" i="8"/>
  <c r="BW45" i="8" s="1"/>
  <c r="D68" i="2"/>
  <c r="Q65" i="8" s="1"/>
  <c r="Q66" i="8" s="1"/>
  <c r="R67" i="8" s="1"/>
  <c r="T67" i="8" s="1"/>
  <c r="BV10" i="8"/>
  <c r="BW10" i="8" s="1"/>
  <c r="L43" i="2"/>
  <c r="T42" i="8" s="1"/>
  <c r="U42" i="8" s="1"/>
  <c r="BV42" i="8"/>
  <c r="BW42" i="8" s="1"/>
  <c r="L30" i="2"/>
  <c r="T29" i="8" s="1"/>
  <c r="U29" i="8" s="1"/>
  <c r="BV29" i="8"/>
  <c r="BW29" i="8" s="1"/>
  <c r="BW32" i="8"/>
  <c r="L11" i="2"/>
  <c r="P66" i="8" l="1"/>
  <c r="BV64" i="8"/>
  <c r="R65" i="8"/>
  <c r="L68" i="2"/>
  <c r="N65" i="8" s="1"/>
  <c r="N66" i="8" s="1"/>
  <c r="T10" i="8"/>
  <c r="U10" i="8" l="1"/>
  <c r="T64" i="8"/>
  <c r="U64" i="8" l="1"/>
  <c r="U66" i="8" s="1"/>
</calcChain>
</file>

<file path=xl/comments1.xml><?xml version="1.0" encoding="utf-8"?>
<comments xmlns="http://schemas.openxmlformats.org/spreadsheetml/2006/main">
  <authors>
    <author>lily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12 HRS . EXTRA DOBLES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12 HRS . EXTRA DOBLES
</t>
        </r>
      </text>
    </comment>
  </commentList>
</comments>
</file>

<file path=xl/sharedStrings.xml><?xml version="1.0" encoding="utf-8"?>
<sst xmlns="http://schemas.openxmlformats.org/spreadsheetml/2006/main" count="1326" uniqueCount="331">
  <si>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</si>
  <si>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</si>
  <si>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</si>
  <si>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</si>
  <si>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</si>
  <si>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</si>
  <si>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</si>
  <si>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</si>
  <si>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</si>
  <si>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</si>
  <si>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</si>
  <si>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</si>
  <si>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</si>
  <si>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</si>
  <si>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</si>
  <si>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>AT09</t>
  </si>
  <si>
    <t>Aguillon Torres Jonathan Ramiro</t>
  </si>
  <si>
    <t>AC19</t>
  </si>
  <si>
    <t>Arias Cortes Ricardo</t>
  </si>
  <si>
    <t>AJ28</t>
  </si>
  <si>
    <t>Avendaño Jauregui Mauricio</t>
  </si>
  <si>
    <t>BS07</t>
  </si>
  <si>
    <t>Balbuena Salazar Patricia</t>
  </si>
  <si>
    <t>BC09</t>
  </si>
  <si>
    <t>Baltazar Cruz Desiree De Jesus</t>
  </si>
  <si>
    <t>BS22</t>
  </si>
  <si>
    <t>Blancas Esteves Javier Rene</t>
  </si>
  <si>
    <t>CR21</t>
  </si>
  <si>
    <t>Camacho Rivera Martha Sarahi</t>
  </si>
  <si>
    <t>CS27</t>
  </si>
  <si>
    <t>Campos Sancen Luis Felipe</t>
  </si>
  <si>
    <t>CM01</t>
  </si>
  <si>
    <t>Carranco Mancera Viridiana</t>
  </si>
  <si>
    <t>CG02</t>
  </si>
  <si>
    <t>Castillo Galindo Marlene Samantha Graciela</t>
  </si>
  <si>
    <t>AC03</t>
  </si>
  <si>
    <t>Del Alto Castellanos Xochitl</t>
  </si>
  <si>
    <t>GM14</t>
  </si>
  <si>
    <t>Gaytan Martinez Raul</t>
  </si>
  <si>
    <t>GM21</t>
  </si>
  <si>
    <t>Guardian Martinez Mayra Veronica</t>
  </si>
  <si>
    <t>GA21</t>
  </si>
  <si>
    <t>Guerra Aguilar Alejandro</t>
  </si>
  <si>
    <t>HE04</t>
  </si>
  <si>
    <t>Hernandez Espinoza Victor Benjami</t>
  </si>
  <si>
    <t>HP29</t>
  </si>
  <si>
    <t>Hernandez Perez Jose Ricardo</t>
  </si>
  <si>
    <t>JR02</t>
  </si>
  <si>
    <t>Jimenez Revilla Valentin Israel</t>
  </si>
  <si>
    <t>0003</t>
  </si>
  <si>
    <t>Jimenez Suarez Ludivina</t>
  </si>
  <si>
    <t>LA2</t>
  </si>
  <si>
    <t>Loyola Acosta Carlos Alberto</t>
  </si>
  <si>
    <t>ME05</t>
  </si>
  <si>
    <t>Mandujano Estrada  Ilse Georgina</t>
  </si>
  <si>
    <t>MH02</t>
  </si>
  <si>
    <t>Martinez Herrera Cristian</t>
  </si>
  <si>
    <t>MP11</t>
  </si>
  <si>
    <t>Medina Puga Sandra</t>
  </si>
  <si>
    <t>MV23</t>
  </si>
  <si>
    <t>Mejia Villegas Nallely Beatriz</t>
  </si>
  <si>
    <t>MM25</t>
  </si>
  <si>
    <t>Meza Muñiz Jose Angel</t>
  </si>
  <si>
    <t>MN09</t>
  </si>
  <si>
    <t>Morales Naif Diana</t>
  </si>
  <si>
    <t>MG17</t>
  </si>
  <si>
    <t>Muñiz Rodriguez Jesus</t>
  </si>
  <si>
    <t>0056</t>
  </si>
  <si>
    <t>Muñoz Macias Marco Alfredo</t>
  </si>
  <si>
    <t>NA28</t>
  </si>
  <si>
    <t>Nava Ambriz Thania</t>
  </si>
  <si>
    <t>0012</t>
  </si>
  <si>
    <t>Navarrete Rodriguez Maria Teresa</t>
  </si>
  <si>
    <t>0023</t>
  </si>
  <si>
    <t>Navarrete Rodriguez Miguel Angel</t>
  </si>
  <si>
    <t>NO05</t>
  </si>
  <si>
    <t>Nieves Osornio Silvestre</t>
  </si>
  <si>
    <t>PG30</t>
  </si>
  <si>
    <t>Patiño Gonzalez Ricardo</t>
  </si>
  <si>
    <t>009</t>
  </si>
  <si>
    <t>Patiño Muñoz Ana Laura</t>
  </si>
  <si>
    <t>PM15</t>
  </si>
  <si>
    <t>Perez Moron Isaac Omar</t>
  </si>
  <si>
    <t>0013</t>
  </si>
  <si>
    <t>Perez Saavedra Julio Cesar</t>
  </si>
  <si>
    <t>PH18</t>
  </si>
  <si>
    <t>Piña Hernandez Carlos Eliseo</t>
  </si>
  <si>
    <t>RZ01</t>
  </si>
  <si>
    <t>Ramirez Zacarias Jorge Alberto</t>
  </si>
  <si>
    <t>RC27</t>
  </si>
  <si>
    <t>Rodriguez Cruz Fernando Antonio</t>
  </si>
  <si>
    <t>0033</t>
  </si>
  <si>
    <t>Rodriguez Nuñez Jose Antonio</t>
  </si>
  <si>
    <t>RL10</t>
  </si>
  <si>
    <t>Ruiz Laguna Anabel</t>
  </si>
  <si>
    <t>SM06</t>
  </si>
  <si>
    <t>Salcedo Moreno Janitzy Xochitl</t>
  </si>
  <si>
    <t>SM00</t>
  </si>
  <si>
    <t>Salomon Muñoz Martin</t>
  </si>
  <si>
    <t>SV030</t>
  </si>
  <si>
    <t xml:space="preserve">Sambrano Villarreal Hernan Andres </t>
  </si>
  <si>
    <t>SE03</t>
  </si>
  <si>
    <t>Sanchez Escamilla Rosalba</t>
  </si>
  <si>
    <t>0008</t>
  </si>
  <si>
    <t>Sanchez Veana Javier</t>
  </si>
  <si>
    <t>SA03</t>
  </si>
  <si>
    <t>Santana Anaya Gildardo Enrique</t>
  </si>
  <si>
    <t>0018</t>
  </si>
  <si>
    <t>Tierrablanca Sanchez Victor Hugo</t>
  </si>
  <si>
    <t>TM19</t>
  </si>
  <si>
    <t>Toledo Moreno Elizabeth Victoria</t>
  </si>
  <si>
    <t>TP12</t>
  </si>
  <si>
    <t>Toledo Perez Jose Francisco</t>
  </si>
  <si>
    <t>TR24</t>
  </si>
  <si>
    <t>Trejo Rodriguez Luis Fernando</t>
  </si>
  <si>
    <t>VF00</t>
  </si>
  <si>
    <t>Vega Fernandez Amalia</t>
  </si>
  <si>
    <t>YV27</t>
  </si>
  <si>
    <t>Yerena Vazquez Alejandro</t>
  </si>
  <si>
    <t xml:space="preserve">  =============</t>
  </si>
  <si>
    <t>Total Gral.</t>
  </si>
  <si>
    <t xml:space="preserve"> </t>
  </si>
  <si>
    <t>LAVADOR PREVIADOR</t>
  </si>
  <si>
    <t>LAVADOR</t>
  </si>
  <si>
    <t>Nombre</t>
  </si>
  <si>
    <t>Infonavit</t>
  </si>
  <si>
    <t>JIMENEZ SUAREZ LUDIV</t>
  </si>
  <si>
    <t>ARIAS CORTES RICARDO</t>
  </si>
  <si>
    <t>BALTAZAR CRUZ DESIRE</t>
  </si>
  <si>
    <t>CAMPOS SANCEN LUIS F</t>
  </si>
  <si>
    <t>GAYTAN MARTINEZ RAUL</t>
  </si>
  <si>
    <t>MORALES NAIF DIANA</t>
  </si>
  <si>
    <t>MEDINA PUGA SANDRA</t>
  </si>
  <si>
    <t>NAVA AMBRIZ THANIA</t>
  </si>
  <si>
    <t>PIÑA HERNANDEZ CARLO</t>
  </si>
  <si>
    <t>SANTANA ANAYA GILDAR</t>
  </si>
  <si>
    <t>SANCHEZ VEANA JAVIER</t>
  </si>
  <si>
    <t>RUIZ LAGUNA ANABEL</t>
  </si>
  <si>
    <t>PEREZ SAAVEDRA JULIO</t>
  </si>
  <si>
    <t>HERNANDEZ PEREZ JOSE</t>
  </si>
  <si>
    <t>SALOMON MUñOZ MARTIN</t>
  </si>
  <si>
    <t>TREJO RODRIGUEZ LUIS</t>
  </si>
  <si>
    <t>RODRIGUEZ NUñEZ JOSE</t>
  </si>
  <si>
    <t>TOLEDO MORENO ELIZAB</t>
  </si>
  <si>
    <t>BE22</t>
  </si>
  <si>
    <t>LA02</t>
  </si>
  <si>
    <t>LOYOLA ACOSTA CARLOS</t>
  </si>
  <si>
    <t>IVA</t>
  </si>
  <si>
    <t>INFONAVIT</t>
  </si>
  <si>
    <t>TOTAL PERCEPCIONES</t>
  </si>
  <si>
    <t>SUELDO BASE</t>
  </si>
  <si>
    <t>COMISIONES</t>
  </si>
  <si>
    <t>Periodo 2 al 2 Quincenal del 16/01/2016 al 31/01/2016</t>
  </si>
  <si>
    <t>Comision 10%</t>
  </si>
  <si>
    <t>2% S/N</t>
  </si>
  <si>
    <t>SUBTOTAL</t>
  </si>
  <si>
    <t>SUBSIDO ENTREGADO</t>
  </si>
  <si>
    <t>SGV</t>
  </si>
  <si>
    <t>Herrera Almaraz Blanca Sofia</t>
  </si>
  <si>
    <t>NM17</t>
  </si>
  <si>
    <t>Navarro Macias Jennifer</t>
  </si>
  <si>
    <t>Ramirez Garcia Jaime Emilio</t>
  </si>
  <si>
    <t>Medina Cisneros Iveth de Jesus</t>
  </si>
  <si>
    <t>HA01</t>
  </si>
  <si>
    <t>MC</t>
  </si>
  <si>
    <t>Medina Cisneros Iveth De Jesus</t>
  </si>
  <si>
    <t>RA02</t>
  </si>
  <si>
    <t>APOYO CLAUSULA 23 CC</t>
  </si>
  <si>
    <t>NETO A RECIBIR</t>
  </si>
  <si>
    <t>DIFERENCIA EN PAGO</t>
  </si>
  <si>
    <t>SE DIO DE MAS</t>
  </si>
  <si>
    <t>devol</t>
  </si>
  <si>
    <t>OTHON</t>
  </si>
  <si>
    <t>CON EL AJUSTE LE CORRESPONDE LA COMISIÓN AL ELLA</t>
  </si>
  <si>
    <t>BS022</t>
  </si>
  <si>
    <t>CM012</t>
  </si>
  <si>
    <t>Consultores &amp; Asesores Integrales S.C.</t>
  </si>
  <si>
    <t>Servicios Prestados a :  ALECSA CELAYA S DE RL DE CV</t>
  </si>
  <si>
    <t>devuelto a empresa</t>
  </si>
  <si>
    <t>Periodo</t>
  </si>
  <si>
    <t>Area</t>
  </si>
  <si>
    <t>Suc</t>
  </si>
  <si>
    <t>Puesto</t>
  </si>
  <si>
    <t>FIJO / VARIABLE</t>
  </si>
  <si>
    <t>sub   S/N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</si>
  <si>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</si>
  <si>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</si>
  <si>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</si>
  <si>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</si>
  <si>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</si>
  <si>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</si>
  <si>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</si>
  <si>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</si>
  <si>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</si>
  <si>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Total Deduciones</t>
  </si>
  <si>
    <t>Comision empleado</t>
  </si>
  <si>
    <t>Neto a Recibir</t>
  </si>
  <si>
    <t>Comision subsidiada</t>
  </si>
  <si>
    <t>Impto Nomina</t>
  </si>
  <si>
    <t>Factura</t>
  </si>
  <si>
    <t>CONSULTORES</t>
  </si>
  <si>
    <t>SINDICATO</t>
  </si>
  <si>
    <t>SERVICIO</t>
  </si>
  <si>
    <t>AGUILLON TORRES JONATHAN</t>
  </si>
  <si>
    <t>ADMINISTRACION</t>
  </si>
  <si>
    <t>ENCARGADO DE SISTEMA</t>
  </si>
  <si>
    <t>FIJO</t>
  </si>
  <si>
    <t>AVENDAñO JAUREGUI MAURICIO</t>
  </si>
  <si>
    <t>VIGILANTE</t>
  </si>
  <si>
    <t>PAGAR 1 DIA FESTIVO</t>
  </si>
  <si>
    <t>BALBUENA SALAZAR PATRICIA</t>
  </si>
  <si>
    <t>AUX ADMINISTRATIVO</t>
  </si>
  <si>
    <t>CAJERA</t>
  </si>
  <si>
    <t>VENTAS</t>
  </si>
  <si>
    <t>BLANCAS ESTEVEZ JAVIER</t>
  </si>
  <si>
    <t>ASESOR DE VENTAS</t>
  </si>
  <si>
    <t>CAMACHO RIVERA MARTHA</t>
  </si>
  <si>
    <t>AUXILIAR DE PROCESOS</t>
  </si>
  <si>
    <t>AUX CONTABLE</t>
  </si>
  <si>
    <t>CASTILLO GALINDO MARLENE</t>
  </si>
  <si>
    <t>INTENDENCIA</t>
  </si>
  <si>
    <t>DEL ALTO CASTELLANOS XOCHILT</t>
  </si>
  <si>
    <t>VIGILANTE MATUTINO</t>
  </si>
  <si>
    <t>GUARDIAN MARTINEZ MAYRA</t>
  </si>
  <si>
    <t>AUX. ADMINISTRATIVO</t>
  </si>
  <si>
    <t>1 FALTA</t>
  </si>
  <si>
    <t>GUERRA AGUILAR ALEJANDRO</t>
  </si>
  <si>
    <t>HERNANDEZ ESPINOZA VICTOR</t>
  </si>
  <si>
    <t>GERENTE GENERAL</t>
  </si>
  <si>
    <t>TECNICO</t>
  </si>
  <si>
    <t>HERRERA ALMANZA BLANCA SOFIA</t>
  </si>
  <si>
    <t>VDQI</t>
  </si>
  <si>
    <t>JIMENEZ REVILLA VALENTIN</t>
  </si>
  <si>
    <t>AUXILIAR CONTABLE</t>
  </si>
  <si>
    <t xml:space="preserve">FIJO   </t>
  </si>
  <si>
    <t>MENSAJERO</t>
  </si>
  <si>
    <t>MANDUJANO ESTRADA ILSE</t>
  </si>
  <si>
    <t>GREETER</t>
  </si>
  <si>
    <t>MARTINEZ HERRERA CRISTIAN</t>
  </si>
  <si>
    <t>MERCADOTECNIA</t>
  </si>
  <si>
    <t>MARTINEZ MEDINA RICARDO</t>
  </si>
  <si>
    <t>PRACTICANTE DE MERCADOTECNIA</t>
  </si>
  <si>
    <t>NUEVO INGRESO 23/02/16</t>
  </si>
  <si>
    <t>MEDINA CISNEROS IVETH DE JESUS</t>
  </si>
  <si>
    <t>CAJERA AUXILIAR</t>
  </si>
  <si>
    <t>ADMON SERVICIO</t>
  </si>
  <si>
    <t>MEJIA VILLEGAS NALLELY</t>
  </si>
  <si>
    <t>CITAS</t>
  </si>
  <si>
    <t>MEZA MUÑIZ JOSE ANGEL</t>
  </si>
  <si>
    <t>RECEPCIONISTA</t>
  </si>
  <si>
    <t>MUñIZ RODRIGUEZ JESUS</t>
  </si>
  <si>
    <t>MUñOZ MACIAS MARCO ALFREDO</t>
  </si>
  <si>
    <t>TRASLADISTA</t>
  </si>
  <si>
    <t>AUXILIAR ADMINISTRAT</t>
  </si>
  <si>
    <t>NAVARRETE RODRIGUEZ MIGUEL ANGEL</t>
  </si>
  <si>
    <t>ADMON VENTAS</t>
  </si>
  <si>
    <t>NAVARRETE RODRIGUEZ MARIA TERESA</t>
  </si>
  <si>
    <t>INTERCAMBIOS</t>
  </si>
  <si>
    <t>COORPORATIVO</t>
  </si>
  <si>
    <t>NAVARRO MACIAS JENIFER</t>
  </si>
  <si>
    <t>NIEVES OSORNIO SILVESTRE</t>
  </si>
  <si>
    <t>ESTETICAS</t>
  </si>
  <si>
    <t>PATIñO GONZALEZ RICARDO</t>
  </si>
  <si>
    <t>F&amp;I</t>
  </si>
  <si>
    <t>PATIÑO MUÑOZ ANA LAURA</t>
  </si>
  <si>
    <t>PEREZ MORON ISAAC OMAR</t>
  </si>
  <si>
    <t>COACH DE VENTAS</t>
  </si>
  <si>
    <t>GERENTE DE SERVICIO</t>
  </si>
  <si>
    <t>ASISTENTE DE DIRECCI</t>
  </si>
  <si>
    <t>RAMIREZ GARCIA JAIME EMILIO</t>
  </si>
  <si>
    <t>GERENTE POST-VENTA</t>
  </si>
  <si>
    <t>RAMIREZ ZACARIAS JORGE</t>
  </si>
  <si>
    <t>TECNICO MAESTRO EN D</t>
  </si>
  <si>
    <t>RODRIGUEZ CRUZ FERNANDO</t>
  </si>
  <si>
    <t>PREVIADOR</t>
  </si>
  <si>
    <t>REFACCIONES</t>
  </si>
  <si>
    <t>AUXILIAR DE REFACCIO</t>
  </si>
  <si>
    <t>SALCEDO MORENO JANITZY</t>
  </si>
  <si>
    <t>ATENCION A CLIENTES</t>
  </si>
  <si>
    <t>SAMBRANO VILLARREAL HERNAN</t>
  </si>
  <si>
    <t>LAVADOR NUEVOS</t>
  </si>
  <si>
    <t>SANCHEZ ESCAMILLA ROSALBA</t>
  </si>
  <si>
    <t>GARANTIAS</t>
  </si>
  <si>
    <t>GERENTE DE REFACCION</t>
  </si>
  <si>
    <t>GERENTE DE SISTEMAS</t>
  </si>
  <si>
    <t xml:space="preserve">TIERRABLANCA SANCHEZ VICTOR </t>
  </si>
  <si>
    <t>SEGUROS</t>
  </si>
  <si>
    <t>TOLEDO PEREZ FRANCISCO</t>
  </si>
  <si>
    <t>LAVADOR/PREVIADOR</t>
  </si>
  <si>
    <t>VEGA FERNANDEZ AMALIA</t>
  </si>
  <si>
    <t>YERENA VAZQUEZ ALEJANDRO</t>
  </si>
  <si>
    <t>TOTAL NOMINA</t>
  </si>
  <si>
    <t>INCAPACIDAD</t>
  </si>
  <si>
    <t>PASA A NOMINA SEMANAL</t>
  </si>
  <si>
    <t>BAJAS DURANTE LA QUINCENA</t>
  </si>
  <si>
    <t>JORGE ANTONIO GARCIA GARCIA</t>
  </si>
  <si>
    <t>ROBERTO ENRIQUE VEGA PACHECO</t>
  </si>
  <si>
    <t>700-070 VENTAS</t>
  </si>
  <si>
    <t>701-070 USADOS</t>
  </si>
  <si>
    <t>703-070 ADMON</t>
  </si>
  <si>
    <t>704-070 REFACC</t>
  </si>
  <si>
    <t>705-001-070 SERV</t>
  </si>
  <si>
    <t>683-001-001 COSTO</t>
  </si>
  <si>
    <t>paso a semanal</t>
  </si>
  <si>
    <t>comisión empleado</t>
  </si>
  <si>
    <t>DIA FESTIVO</t>
  </si>
  <si>
    <t>FALTA</t>
  </si>
  <si>
    <t>FALTAS</t>
  </si>
  <si>
    <t>DESCTO QUI3</t>
  </si>
  <si>
    <t>Periodo 4 al 4 Quincenal del 16/02/2016 al 29/02/2016</t>
  </si>
  <si>
    <t>Reg Pat IMSS: B4251548102</t>
  </si>
  <si>
    <t>suep el subsidio acredd</t>
  </si>
  <si>
    <t>UNIFORMES</t>
  </si>
  <si>
    <t>HORAS EXTRAS</t>
  </si>
  <si>
    <t>DEBE</t>
  </si>
  <si>
    <t>TOTAL</t>
  </si>
  <si>
    <t>CC</t>
  </si>
  <si>
    <t>683-001-001</t>
  </si>
  <si>
    <t>705-070</t>
  </si>
  <si>
    <t>703-070</t>
  </si>
  <si>
    <t>700-070</t>
  </si>
  <si>
    <t>702-070</t>
  </si>
  <si>
    <t>701-070</t>
  </si>
  <si>
    <t>704-070</t>
  </si>
  <si>
    <t>ALECSA CELAYA, SRL DE CV</t>
  </si>
  <si>
    <t xml:space="preserve">DESGLOSE DE NOMINA </t>
  </si>
  <si>
    <t>PERIODO</t>
  </si>
  <si>
    <t>CUENTA</t>
  </si>
  <si>
    <t>IMPORTE</t>
  </si>
  <si>
    <t>705-001-070</t>
  </si>
  <si>
    <t>16/02/2016 AL 29/02/2016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</si>
</sst>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8" formatCode="_-&quot;$&quot;* #,##0.00_-;\-&quot;$&quot;* #,##0.00_-;_-&quot;$&quot;* &quot;-&quot;??_-;_-@_-"/>
    <numFmt numFmtId="169" formatCode="_-* #,##0.00_-;\-* #,##0.0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249977111117893"/>
      <name val="Arial"/>
      <family val="2"/>
    </font>
    <font>
      <b/>
      <sz val="11"/>
      <color theme="0" tint="-0.249977111117893"/>
      <name val="Arial"/>
      <family val="2"/>
    </font>
    <font>
      <sz val="12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8"/>
      <color theme="0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7" fillId="0" borderId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Continuous"/>
    </xf>
    <xf numFmtId="0" fontId="17" fillId="0" borderId="0" xfId="0" applyFont="1"/>
    <xf numFmtId="49" fontId="19" fillId="0" borderId="0" xfId="0" applyNumberFormat="1" applyFont="1" applyAlignment="1">
      <alignment horizontal="centerContinuous" vertical="top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17" fillId="0" borderId="0" xfId="0" applyNumberFormat="1" applyFont="1"/>
    <xf numFmtId="0" fontId="14" fillId="3" borderId="0" xfId="0" applyFont="1" applyFill="1" applyAlignment="1"/>
    <xf numFmtId="0" fontId="17" fillId="0" borderId="0" xfId="0" applyFont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49" fontId="22" fillId="0" borderId="0" xfId="0" applyNumberFormat="1" applyFont="1"/>
    <xf numFmtId="49" fontId="17" fillId="0" borderId="0" xfId="0" applyNumberFormat="1" applyFont="1" applyFill="1"/>
    <xf numFmtId="0" fontId="17" fillId="0" borderId="0" xfId="0" applyFont="1" applyFill="1"/>
    <xf numFmtId="44" fontId="17" fillId="0" borderId="0" xfId="2" applyFont="1" applyFill="1"/>
    <xf numFmtId="0" fontId="23" fillId="0" borderId="0" xfId="0" applyFont="1" applyFill="1"/>
    <xf numFmtId="49" fontId="24" fillId="0" borderId="0" xfId="0" applyNumberFormat="1" applyFont="1" applyFill="1" applyAlignment="1">
      <alignment horizontal="left"/>
    </xf>
    <xf numFmtId="164" fontId="24" fillId="0" borderId="2" xfId="0" applyNumberFormat="1" applyFont="1" applyFill="1" applyBorder="1"/>
    <xf numFmtId="49" fontId="22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/>
    <xf numFmtId="49" fontId="4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3" fontId="18" fillId="0" borderId="0" xfId="1" applyFont="1" applyAlignment="1"/>
    <xf numFmtId="43" fontId="18" fillId="0" borderId="0" xfId="1" applyFont="1" applyAlignment="1">
      <alignment vertical="center"/>
    </xf>
    <xf numFmtId="43" fontId="17" fillId="0" borderId="0" xfId="1" applyFont="1"/>
    <xf numFmtId="43" fontId="22" fillId="2" borderId="1" xfId="1" applyFont="1" applyFill="1" applyBorder="1" applyAlignment="1">
      <alignment horizontal="center" vertical="center" wrapText="1"/>
    </xf>
    <xf numFmtId="43" fontId="17" fillId="0" borderId="0" xfId="1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8" fontId="17" fillId="0" borderId="0" xfId="0" applyNumberFormat="1" applyFont="1" applyFill="1"/>
    <xf numFmtId="44" fontId="17" fillId="0" borderId="0" xfId="0" applyNumberFormat="1" applyFont="1" applyFill="1"/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21" fillId="0" borderId="0" xfId="0" applyFont="1" applyAlignment="1">
      <alignment horizontal="center"/>
    </xf>
    <xf numFmtId="0" fontId="26" fillId="4" borderId="0" xfId="0" applyFont="1" applyFill="1" applyAlignment="1">
      <alignment horizontal="center" vertical="center" wrapText="1"/>
    </xf>
    <xf numFmtId="44" fontId="17" fillId="5" borderId="0" xfId="0" applyNumberFormat="1" applyFont="1" applyFill="1"/>
    <xf numFmtId="0" fontId="17" fillId="3" borderId="0" xfId="0" applyFont="1" applyFill="1"/>
    <xf numFmtId="8" fontId="17" fillId="0" borderId="0" xfId="2" applyNumberFormat="1" applyFont="1" applyFill="1"/>
    <xf numFmtId="49" fontId="17" fillId="3" borderId="0" xfId="0" applyNumberFormat="1" applyFont="1" applyFill="1"/>
    <xf numFmtId="44" fontId="17" fillId="3" borderId="0" xfId="2" applyFont="1" applyFill="1"/>
    <xf numFmtId="43" fontId="17" fillId="3" borderId="0" xfId="1" applyFont="1" applyFill="1"/>
    <xf numFmtId="49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164" fontId="12" fillId="3" borderId="0" xfId="0" applyNumberFormat="1" applyFont="1" applyFill="1"/>
    <xf numFmtId="43" fontId="17" fillId="0" borderId="0" xfId="1" applyFont="1" applyAlignment="1">
      <alignment horizontal="center" vertical="center"/>
    </xf>
    <xf numFmtId="43" fontId="17" fillId="5" borderId="0" xfId="1" applyFont="1" applyFill="1"/>
    <xf numFmtId="0" fontId="25" fillId="0" borderId="0" xfId="0" applyFont="1" applyAlignment="1">
      <alignment horizontal="center"/>
    </xf>
    <xf numFmtId="0" fontId="17" fillId="5" borderId="0" xfId="0" applyFont="1" applyFill="1"/>
    <xf numFmtId="0" fontId="2" fillId="5" borderId="0" xfId="0" applyFont="1" applyFill="1"/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164" fontId="12" fillId="0" borderId="0" xfId="0" applyNumberFormat="1" applyFont="1" applyFill="1"/>
    <xf numFmtId="0" fontId="15" fillId="0" borderId="0" xfId="0" applyFont="1" applyFill="1"/>
    <xf numFmtId="43" fontId="15" fillId="0" borderId="0" xfId="1" applyFont="1" applyFill="1"/>
    <xf numFmtId="0" fontId="18" fillId="0" borderId="0" xfId="0" applyFont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28" fillId="0" borderId="0" xfId="3" applyFont="1" applyFill="1" applyAlignment="1" applyProtection="1">
      <alignment horizontal="left"/>
    </xf>
    <xf numFmtId="0" fontId="28" fillId="0" borderId="0" xfId="3" applyFont="1" applyFill="1" applyAlignment="1" applyProtection="1">
      <alignment horizontal="center"/>
    </xf>
    <xf numFmtId="43" fontId="29" fillId="0" borderId="0" xfId="1" applyFont="1" applyFill="1" applyAlignment="1" applyProtection="1">
      <alignment horizontal="center"/>
    </xf>
    <xf numFmtId="43" fontId="30" fillId="0" borderId="0" xfId="1" applyFont="1" applyFill="1" applyAlignment="1" applyProtection="1">
      <alignment horizontal="center"/>
    </xf>
    <xf numFmtId="0" fontId="29" fillId="0" borderId="0" xfId="0" applyFont="1" applyProtection="1"/>
    <xf numFmtId="0" fontId="31" fillId="0" borderId="0" xfId="3" applyFont="1" applyFill="1" applyAlignment="1" applyProtection="1">
      <alignment horizontal="left"/>
    </xf>
    <xf numFmtId="0" fontId="31" fillId="0" borderId="0" xfId="3" applyFont="1" applyFill="1" applyAlignment="1" applyProtection="1">
      <alignment horizontal="center"/>
    </xf>
    <xf numFmtId="15" fontId="28" fillId="0" borderId="0" xfId="3" applyNumberFormat="1" applyFont="1" applyFill="1" applyAlignment="1" applyProtection="1">
      <alignment horizontal="left"/>
    </xf>
    <xf numFmtId="15" fontId="28" fillId="0" borderId="0" xfId="3" applyNumberFormat="1" applyFont="1" applyFill="1" applyAlignment="1" applyProtection="1">
      <alignment horizontal="center"/>
    </xf>
    <xf numFmtId="0" fontId="30" fillId="0" borderId="0" xfId="0" applyFont="1"/>
    <xf numFmtId="43" fontId="29" fillId="0" borderId="0" xfId="1" applyFont="1"/>
    <xf numFmtId="43" fontId="30" fillId="0" borderId="0" xfId="1" applyFont="1"/>
    <xf numFmtId="43" fontId="30" fillId="7" borderId="4" xfId="1" applyFont="1" applyFill="1" applyBorder="1" applyAlignment="1">
      <alignment horizontal="center" wrapText="1"/>
    </xf>
    <xf numFmtId="0" fontId="30" fillId="0" borderId="0" xfId="0" applyFont="1" applyFill="1"/>
    <xf numFmtId="43" fontId="30" fillId="7" borderId="5" xfId="1" applyFont="1" applyFill="1" applyBorder="1" applyAlignment="1">
      <alignment horizontal="center" wrapText="1"/>
    </xf>
    <xf numFmtId="0" fontId="29" fillId="0" borderId="3" xfId="0" applyFont="1" applyBorder="1"/>
    <xf numFmtId="0" fontId="29" fillId="0" borderId="3" xfId="0" applyFont="1" applyBorder="1" applyAlignment="1">
      <alignment horizontal="right"/>
    </xf>
    <xf numFmtId="43" fontId="29" fillId="0" borderId="3" xfId="1" applyFont="1" applyBorder="1"/>
    <xf numFmtId="43" fontId="32" fillId="8" borderId="3" xfId="1" applyFont="1" applyFill="1" applyBorder="1"/>
    <xf numFmtId="43" fontId="30" fillId="9" borderId="3" xfId="1" applyFont="1" applyFill="1" applyBorder="1"/>
    <xf numFmtId="43" fontId="29" fillId="10" borderId="3" xfId="1" applyFont="1" applyFill="1" applyBorder="1"/>
    <xf numFmtId="43" fontId="29" fillId="11" borderId="3" xfId="1" applyFont="1" applyFill="1" applyBorder="1" applyAlignment="1">
      <alignment horizontal="center"/>
    </xf>
    <xf numFmtId="43" fontId="0" fillId="0" borderId="3" xfId="1" applyFont="1" applyBorder="1"/>
    <xf numFmtId="43" fontId="29" fillId="0" borderId="3" xfId="1" applyFont="1" applyFill="1" applyBorder="1" applyAlignment="1">
      <alignment horizontal="center"/>
    </xf>
    <xf numFmtId="43" fontId="29" fillId="6" borderId="3" xfId="1" applyFont="1" applyFill="1" applyBorder="1" applyAlignment="1">
      <alignment horizontal="center"/>
    </xf>
    <xf numFmtId="0" fontId="29" fillId="0" borderId="0" xfId="0" applyFont="1" applyFill="1"/>
    <xf numFmtId="0" fontId="29" fillId="8" borderId="0" xfId="0" applyFont="1" applyFill="1"/>
    <xf numFmtId="0" fontId="29" fillId="0" borderId="0" xfId="0" applyFont="1"/>
    <xf numFmtId="0" fontId="30" fillId="3" borderId="0" xfId="0" applyFont="1" applyFill="1"/>
    <xf numFmtId="0" fontId="29" fillId="8" borderId="3" xfId="0" applyFont="1" applyFill="1" applyBorder="1"/>
    <xf numFmtId="43" fontId="29" fillId="8" borderId="3" xfId="1" applyFont="1" applyFill="1" applyBorder="1"/>
    <xf numFmtId="0" fontId="29" fillId="3" borderId="0" xfId="0" applyFont="1" applyFill="1"/>
    <xf numFmtId="0" fontId="30" fillId="3" borderId="0" xfId="0" applyFont="1" applyFill="1" applyAlignment="1">
      <alignment horizontal="center"/>
    </xf>
    <xf numFmtId="12" fontId="29" fillId="8" borderId="3" xfId="1" applyNumberFormat="1" applyFont="1" applyFill="1" applyBorder="1"/>
    <xf numFmtId="0" fontId="29" fillId="5" borderId="3" xfId="0" applyFont="1" applyFill="1" applyBorder="1"/>
    <xf numFmtId="0" fontId="29" fillId="5" borderId="3" xfId="0" applyFont="1" applyFill="1" applyBorder="1" applyAlignment="1">
      <alignment horizontal="right"/>
    </xf>
    <xf numFmtId="43" fontId="29" fillId="5" borderId="3" xfId="1" applyFont="1" applyFill="1" applyBorder="1"/>
    <xf numFmtId="43" fontId="32" fillId="5" borderId="3" xfId="1" applyFont="1" applyFill="1" applyBorder="1"/>
    <xf numFmtId="43" fontId="30" fillId="5" borderId="3" xfId="1" applyFont="1" applyFill="1" applyBorder="1"/>
    <xf numFmtId="43" fontId="29" fillId="5" borderId="3" xfId="1" applyFont="1" applyFill="1" applyBorder="1" applyAlignment="1">
      <alignment horizontal="center"/>
    </xf>
    <xf numFmtId="43" fontId="14" fillId="5" borderId="3" xfId="1" applyFont="1" applyFill="1" applyBorder="1"/>
    <xf numFmtId="0" fontId="29" fillId="5" borderId="0" xfId="0" applyFont="1" applyFill="1"/>
    <xf numFmtId="8" fontId="29" fillId="0" borderId="0" xfId="0" applyNumberFormat="1" applyFont="1" applyFill="1"/>
    <xf numFmtId="0" fontId="30" fillId="0" borderId="3" xfId="0" applyFont="1" applyFill="1" applyBorder="1"/>
    <xf numFmtId="0" fontId="29" fillId="0" borderId="4" xfId="0" applyFont="1" applyFill="1" applyBorder="1"/>
    <xf numFmtId="43" fontId="29" fillId="0" borderId="4" xfId="1" applyFont="1" applyFill="1" applyBorder="1"/>
    <xf numFmtId="43" fontId="30" fillId="0" borderId="3" xfId="1" applyFont="1" applyFill="1" applyBorder="1"/>
    <xf numFmtId="43" fontId="30" fillId="0" borderId="4" xfId="1" applyFont="1" applyFill="1" applyBorder="1"/>
    <xf numFmtId="0" fontId="30" fillId="0" borderId="6" xfId="0" applyFont="1" applyBorder="1"/>
    <xf numFmtId="43" fontId="30" fillId="0" borderId="6" xfId="1" applyFont="1" applyBorder="1"/>
    <xf numFmtId="0" fontId="33" fillId="0" borderId="0" xfId="0" applyFont="1"/>
    <xf numFmtId="8" fontId="17" fillId="3" borderId="0" xfId="0" applyNumberFormat="1" applyFont="1" applyFill="1"/>
    <xf numFmtId="0" fontId="22" fillId="13" borderId="1" xfId="0" applyFont="1" applyFill="1" applyBorder="1" applyAlignment="1">
      <alignment horizontal="center" vertical="center" wrapText="1"/>
    </xf>
    <xf numFmtId="0" fontId="0" fillId="13" borderId="0" xfId="0" applyFill="1"/>
    <xf numFmtId="0" fontId="17" fillId="13" borderId="0" xfId="0" applyFont="1" applyFill="1"/>
    <xf numFmtId="164" fontId="2" fillId="13" borderId="0" xfId="0" applyNumberFormat="1" applyFont="1" applyFill="1"/>
    <xf numFmtId="0" fontId="2" fillId="13" borderId="0" xfId="0" applyFont="1" applyFill="1" applyAlignment="1">
      <alignment horizontal="right"/>
    </xf>
    <xf numFmtId="0" fontId="2" fillId="13" borderId="0" xfId="0" applyFont="1" applyFill="1"/>
    <xf numFmtId="0" fontId="9" fillId="13" borderId="0" xfId="0" applyFont="1" applyFill="1"/>
    <xf numFmtId="0" fontId="22" fillId="14" borderId="1" xfId="0" applyFont="1" applyFill="1" applyBorder="1" applyAlignment="1">
      <alignment horizontal="center" vertical="center" wrapText="1"/>
    </xf>
    <xf numFmtId="43" fontId="17" fillId="0" borderId="0" xfId="0" applyNumberFormat="1" applyFont="1" applyFill="1"/>
    <xf numFmtId="0" fontId="29" fillId="0" borderId="3" xfId="0" applyFont="1" applyFill="1" applyBorder="1"/>
    <xf numFmtId="0" fontId="29" fillId="0" borderId="3" xfId="0" applyFont="1" applyFill="1" applyBorder="1" applyAlignment="1">
      <alignment horizontal="right"/>
    </xf>
    <xf numFmtId="43" fontId="29" fillId="0" borderId="3" xfId="1" applyFont="1" applyFill="1" applyBorder="1"/>
    <xf numFmtId="43" fontId="32" fillId="0" borderId="3" xfId="1" applyFont="1" applyFill="1" applyBorder="1"/>
    <xf numFmtId="43" fontId="0" fillId="0" borderId="3" xfId="1" applyFont="1" applyFill="1" applyBorder="1"/>
    <xf numFmtId="0" fontId="30" fillId="0" borderId="0" xfId="0" applyFont="1" applyFill="1" applyAlignment="1">
      <alignment horizontal="center"/>
    </xf>
    <xf numFmtId="12" fontId="29" fillId="0" borderId="3" xfId="1" applyNumberFormat="1" applyFont="1" applyFill="1" applyBorder="1"/>
    <xf numFmtId="0" fontId="23" fillId="0" borderId="0" xfId="0" applyFont="1"/>
    <xf numFmtId="49" fontId="36" fillId="0" borderId="0" xfId="0" applyNumberFormat="1" applyFont="1" applyFill="1"/>
    <xf numFmtId="0" fontId="36" fillId="0" borderId="0" xfId="0" applyFont="1" applyFill="1"/>
    <xf numFmtId="43" fontId="36" fillId="0" borderId="0" xfId="1" applyFont="1" applyFill="1"/>
    <xf numFmtId="164" fontId="36" fillId="0" borderId="0" xfId="0" applyNumberFormat="1" applyFont="1" applyFill="1"/>
    <xf numFmtId="164" fontId="37" fillId="0" borderId="2" xfId="0" applyNumberFormat="1" applyFont="1" applyFill="1" applyBorder="1"/>
    <xf numFmtId="0" fontId="38" fillId="0" borderId="4" xfId="0" applyFont="1" applyFill="1" applyBorder="1"/>
    <xf numFmtId="43" fontId="38" fillId="0" borderId="4" xfId="1" applyFont="1" applyFill="1" applyBorder="1"/>
    <xf numFmtId="43" fontId="39" fillId="0" borderId="3" xfId="1" applyFont="1" applyFill="1" applyBorder="1"/>
    <xf numFmtId="43" fontId="38" fillId="0" borderId="3" xfId="1" applyFont="1" applyFill="1" applyBorder="1" applyAlignment="1">
      <alignment horizontal="center"/>
    </xf>
    <xf numFmtId="43" fontId="39" fillId="0" borderId="4" xfId="1" applyFont="1" applyFill="1" applyBorder="1"/>
    <xf numFmtId="0" fontId="38" fillId="0" borderId="0" xfId="0" applyFont="1" applyFill="1"/>
    <xf numFmtId="0" fontId="39" fillId="0" borderId="6" xfId="0" applyFont="1" applyFill="1" applyBorder="1"/>
    <xf numFmtId="43" fontId="39" fillId="0" borderId="6" xfId="1" applyFont="1" applyFill="1" applyBorder="1"/>
    <xf numFmtId="0" fontId="40" fillId="0" borderId="0" xfId="0" applyFont="1" applyFill="1"/>
    <xf numFmtId="43" fontId="40" fillId="0" borderId="0" xfId="1" applyFont="1" applyFill="1"/>
    <xf numFmtId="164" fontId="40" fillId="0" borderId="0" xfId="0" applyNumberFormat="1" applyFont="1" applyFill="1"/>
    <xf numFmtId="44" fontId="36" fillId="0" borderId="0" xfId="2" applyFont="1" applyFill="1"/>
    <xf numFmtId="43" fontId="30" fillId="7" borderId="4" xfId="1" applyFont="1" applyFill="1" applyBorder="1" applyAlignment="1">
      <alignment horizontal="center" wrapText="1"/>
    </xf>
    <xf numFmtId="3" fontId="30" fillId="7" borderId="3" xfId="0" applyNumberFormat="1" applyFont="1" applyFill="1" applyBorder="1"/>
    <xf numFmtId="43" fontId="30" fillId="7" borderId="4" xfId="1" applyFont="1" applyFill="1" applyBorder="1" applyAlignment="1">
      <alignment horizontal="center" wrapText="1"/>
    </xf>
    <xf numFmtId="43" fontId="30" fillId="7" borderId="5" xfId="1" applyFont="1" applyFill="1" applyBorder="1" applyAlignment="1">
      <alignment horizontal="center" wrapText="1"/>
    </xf>
    <xf numFmtId="3" fontId="30" fillId="7" borderId="3" xfId="0" applyNumberFormat="1" applyFont="1" applyFill="1" applyBorder="1"/>
    <xf numFmtId="0" fontId="30" fillId="12" borderId="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21" fillId="0" borderId="0" xfId="0" applyFont="1" applyAlignment="1">
      <alignment horizontal="center"/>
    </xf>
    <xf numFmtId="43" fontId="13" fillId="0" borderId="8" xfId="1" applyFont="1" applyBorder="1"/>
    <xf numFmtId="0" fontId="42" fillId="0" borderId="8" xfId="0" applyFont="1" applyBorder="1"/>
    <xf numFmtId="0" fontId="41" fillId="0" borderId="8" xfId="0" applyFont="1" applyBorder="1"/>
    <xf numFmtId="0" fontId="0" fillId="0" borderId="8" xfId="0" applyFont="1" applyBorder="1"/>
    <xf numFmtId="0" fontId="0" fillId="0" borderId="8" xfId="0" applyBorder="1"/>
    <xf numFmtId="14" fontId="42" fillId="0" borderId="8" xfId="0" applyNumberFormat="1" applyFont="1" applyBorder="1"/>
    <xf numFmtId="43" fontId="13" fillId="0" borderId="11" xfId="1" applyFont="1" applyBorder="1"/>
    <xf numFmtId="43" fontId="13" fillId="0" borderId="10" xfId="1" applyFont="1" applyBorder="1"/>
    <xf numFmtId="43" fontId="13" fillId="0" borderId="9" xfId="1" applyFont="1" applyBorder="1"/>
    <xf numFmtId="43" fontId="41" fillId="0" borderId="10" xfId="1" applyFont="1" applyBorder="1"/>
  </cellXfs>
  <cellStyles count="6">
    <cellStyle name="Millares" xfId="1" builtinId="3"/>
    <cellStyle name="Millares 2" xfId="4"/>
    <cellStyle name="Moneda" xfId="2" builtinId="4"/>
    <cellStyle name="Moneda 2" xfId="5"/>
    <cellStyle name="Normal" xfId="0" builtinId="0"/>
    <cellStyle name="Normal_Hoja1" xfId="3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3"/>
  <sheetViews>
    <sheetView topLeftCell="A38" workbookViewId="0">
      <selection activeCell="B19" sqref="B19"/>
    </sheetView>
  </sheetViews>
  <sheetFormatPr baseColWidth="10" defaultColWidth="19.5703125" defaultRowHeight="15.75" x14ac:dyDescent="0.25"/>
  <cols>
    <col min="1" max="2" width="19.5703125" style="115"/>
    <col min="3" max="3" width="12.7109375" style="115" customWidth="1"/>
    <col min="4" max="4" width="35" style="115" bestFit="1" customWidth="1"/>
    <col min="5" max="8" width="19.5703125" style="115"/>
    <col min="9" max="13" width="19.5703125" style="98"/>
    <col min="14" max="14" width="19.5703125" style="99"/>
    <col min="15" max="19" width="19.5703125" style="98"/>
    <col min="20" max="20" width="19.5703125" style="99"/>
    <col min="21" max="21" width="19.5703125" style="98"/>
    <col min="22" max="22" width="19.5703125" style="99"/>
    <col min="23" max="24" width="19.5703125" style="98"/>
    <col min="25" max="25" width="19.5703125" style="99"/>
    <col min="26" max="16384" width="19.5703125" style="115"/>
  </cols>
  <sheetData>
    <row r="1" spans="1:44" s="92" customFormat="1" x14ac:dyDescent="0.25">
      <c r="A1" s="88" t="s">
        <v>176</v>
      </c>
      <c r="B1" s="88"/>
      <c r="C1" s="88"/>
      <c r="D1" s="89"/>
      <c r="E1" s="89"/>
      <c r="F1" s="89"/>
      <c r="G1" s="89"/>
      <c r="H1" s="89"/>
      <c r="I1" s="90"/>
      <c r="J1" s="90"/>
      <c r="K1" s="90"/>
      <c r="L1" s="90"/>
      <c r="M1" s="90"/>
      <c r="N1" s="91"/>
      <c r="O1" s="90"/>
      <c r="P1" s="90"/>
      <c r="Q1" s="90"/>
      <c r="R1" s="90"/>
      <c r="S1" s="90"/>
      <c r="T1" s="91"/>
      <c r="U1" s="90"/>
      <c r="V1" s="91"/>
      <c r="W1" s="90"/>
      <c r="X1" s="90"/>
      <c r="Y1" s="91"/>
    </row>
    <row r="2" spans="1:44" s="92" customFormat="1" x14ac:dyDescent="0.25">
      <c r="A2" s="93" t="s">
        <v>177</v>
      </c>
      <c r="B2" s="93"/>
      <c r="C2" s="93"/>
      <c r="D2" s="94"/>
      <c r="E2" s="94"/>
      <c r="F2" s="94"/>
      <c r="G2" s="94"/>
      <c r="H2" s="94"/>
      <c r="I2" s="90"/>
      <c r="J2" s="90"/>
      <c r="K2" s="90"/>
      <c r="L2" s="90"/>
      <c r="M2" s="90"/>
      <c r="N2" s="91"/>
      <c r="O2" s="90" t="s">
        <v>178</v>
      </c>
      <c r="P2" s="90"/>
      <c r="Q2" s="90"/>
      <c r="R2" s="90"/>
      <c r="S2" s="90"/>
      <c r="T2" s="91"/>
      <c r="U2" s="90"/>
      <c r="V2" s="91"/>
      <c r="W2" s="90"/>
      <c r="X2" s="90"/>
      <c r="Y2" s="91"/>
    </row>
    <row r="3" spans="1:44" s="92" customFormat="1" x14ac:dyDescent="0.25">
      <c r="A3" s="95" t="s">
        <v>179</v>
      </c>
      <c r="B3" s="95"/>
      <c r="C3" s="95"/>
      <c r="D3" s="96"/>
      <c r="E3" s="96"/>
      <c r="F3" s="96"/>
      <c r="G3" s="96"/>
      <c r="H3" s="96"/>
      <c r="I3" s="90"/>
      <c r="J3" s="90"/>
      <c r="K3" s="90"/>
      <c r="L3" s="90"/>
      <c r="M3" s="90"/>
      <c r="N3" s="91"/>
      <c r="O3" s="90"/>
      <c r="P3" s="90"/>
      <c r="Q3" s="90"/>
      <c r="R3" s="90"/>
      <c r="S3" s="90"/>
      <c r="T3" s="91"/>
      <c r="U3" s="90"/>
      <c r="V3" s="91"/>
      <c r="W3" s="90"/>
      <c r="X3" s="90"/>
      <c r="Y3" s="91"/>
    </row>
    <row r="4" spans="1:44" s="97" customFormat="1" x14ac:dyDescent="0.25">
      <c r="I4" s="98"/>
      <c r="J4" s="98"/>
      <c r="K4" s="98"/>
      <c r="L4" s="98"/>
      <c r="M4" s="98"/>
      <c r="N4" s="99"/>
      <c r="O4" s="98"/>
      <c r="P4" s="98"/>
      <c r="Q4" s="98"/>
      <c r="R4" s="98"/>
      <c r="S4" s="98"/>
      <c r="T4" s="99"/>
      <c r="U4" s="98"/>
      <c r="V4" s="99"/>
      <c r="W4" s="98"/>
      <c r="X4" s="98"/>
      <c r="Y4" s="99"/>
    </row>
    <row r="5" spans="1:44" s="97" customFormat="1" x14ac:dyDescent="0.25">
      <c r="A5" s="178" t="s">
        <v>180</v>
      </c>
      <c r="B5" s="178" t="s">
        <v>124</v>
      </c>
      <c r="C5" s="178" t="s">
        <v>181</v>
      </c>
      <c r="D5" s="178" t="s">
        <v>182</v>
      </c>
      <c r="E5" s="176" t="s">
        <v>183</v>
      </c>
      <c r="F5" s="176" t="s">
        <v>184</v>
      </c>
      <c r="G5" s="100"/>
      <c r="H5" s="100"/>
      <c r="I5" s="176" t="s">
        <v>185</v>
      </c>
      <c r="J5" s="100"/>
      <c r="K5" s="176" t="s">
        <v>186</v>
      </c>
      <c r="L5" s="176" t="s">
        <v>187</v>
      </c>
      <c r="M5" s="176" t="s">
        <v>188</v>
      </c>
      <c r="N5" s="176" t="s">
        <v>189</v>
      </c>
      <c r="O5" s="176" t="s">
        <v>190</v>
      </c>
      <c r="P5" s="176" t="s">
        <v>191</v>
      </c>
      <c r="Q5" s="176" t="s">
        <v>192</v>
      </c>
      <c r="R5" s="176" t="s">
        <v>193</v>
      </c>
      <c r="S5" s="176" t="s">
        <v>125</v>
      </c>
      <c r="T5" s="176" t="s">
        <v>194</v>
      </c>
      <c r="U5" s="176" t="s">
        <v>195</v>
      </c>
      <c r="V5" s="176" t="s">
        <v>196</v>
      </c>
      <c r="W5" s="176" t="s">
        <v>197</v>
      </c>
      <c r="X5" s="176" t="s">
        <v>198</v>
      </c>
      <c r="Y5" s="176" t="s">
        <v>199</v>
      </c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</row>
    <row r="6" spans="1:44" s="97" customFormat="1" x14ac:dyDescent="0.25">
      <c r="A6" s="178"/>
      <c r="B6" s="178"/>
      <c r="C6" s="178"/>
      <c r="D6" s="178"/>
      <c r="E6" s="177"/>
      <c r="F6" s="177"/>
      <c r="G6" s="102" t="s">
        <v>200</v>
      </c>
      <c r="H6" s="102" t="s">
        <v>201</v>
      </c>
      <c r="I6" s="177"/>
      <c r="J6" s="102" t="s">
        <v>151</v>
      </c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</row>
    <row r="7" spans="1:44" s="114" customFormat="1" x14ac:dyDescent="0.25">
      <c r="A7" s="103" t="s">
        <v>202</v>
      </c>
      <c r="B7" s="103" t="s">
        <v>203</v>
      </c>
      <c r="C7" s="104" t="s">
        <v>15</v>
      </c>
      <c r="D7" s="103" t="s">
        <v>123</v>
      </c>
      <c r="E7" s="103"/>
      <c r="F7" s="103"/>
      <c r="G7" s="105">
        <v>1237.2399999999998</v>
      </c>
      <c r="H7" s="103">
        <v>-37.239999999999782</v>
      </c>
      <c r="I7" s="105">
        <f>+G7+H7</f>
        <v>1200</v>
      </c>
      <c r="J7" s="105">
        <v>362.7</v>
      </c>
      <c r="K7" s="105"/>
      <c r="L7" s="105"/>
      <c r="M7" s="106"/>
      <c r="N7" s="107">
        <f t="shared" ref="N7:N63" si="0">SUM(I7:L7)-M7</f>
        <v>1562.7</v>
      </c>
      <c r="O7" s="108"/>
      <c r="P7" s="109"/>
      <c r="Q7" s="109"/>
      <c r="R7" s="110"/>
      <c r="S7" s="110">
        <v>0</v>
      </c>
      <c r="T7" s="107">
        <f t="shared" ref="T7:T63" si="1">+N7-SUM(O7:S7)</f>
        <v>1562.7</v>
      </c>
      <c r="U7" s="111">
        <f t="shared" ref="U7:U63" si="2">IF(N7&gt;4500,N7*0.1,0)</f>
        <v>0</v>
      </c>
      <c r="V7" s="107">
        <f t="shared" ref="V7:V63" si="3">+T7-U7</f>
        <v>1562.7</v>
      </c>
      <c r="W7" s="112">
        <f t="shared" ref="W7:W63" si="4">IF(N7&lt;4500,N7*0.1,0)</f>
        <v>156.27000000000001</v>
      </c>
      <c r="X7" s="111">
        <f t="shared" ref="X7:X62" si="5">G7*0.02</f>
        <v>24.744799999999998</v>
      </c>
      <c r="Y7" s="107">
        <f t="shared" ref="Y7:Y63" si="6">+N7+W7+X7</f>
        <v>1743.7148</v>
      </c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x14ac:dyDescent="0.25">
      <c r="A8" s="103" t="s">
        <v>204</v>
      </c>
      <c r="B8" s="103" t="s">
        <v>127</v>
      </c>
      <c r="C8" s="104" t="s">
        <v>17</v>
      </c>
      <c r="D8" s="103" t="s">
        <v>205</v>
      </c>
      <c r="E8" s="103" t="s">
        <v>206</v>
      </c>
      <c r="F8" s="103"/>
      <c r="G8" s="105">
        <v>1237.2399999999998</v>
      </c>
      <c r="H8" s="103">
        <v>2262.7600000000002</v>
      </c>
      <c r="I8" s="105">
        <f t="shared" ref="I8:I45" si="7">+G8+H8</f>
        <v>3500</v>
      </c>
      <c r="J8" s="105">
        <v>1777.5</v>
      </c>
      <c r="K8" s="105"/>
      <c r="L8" s="105"/>
      <c r="M8" s="106"/>
      <c r="N8" s="107">
        <f t="shared" si="0"/>
        <v>5277.5</v>
      </c>
      <c r="O8" s="108"/>
      <c r="P8" s="109"/>
      <c r="Q8" s="109"/>
      <c r="R8" s="110"/>
      <c r="S8" s="110">
        <v>0</v>
      </c>
      <c r="T8" s="107">
        <f t="shared" si="1"/>
        <v>5277.5</v>
      </c>
      <c r="U8" s="111">
        <f t="shared" si="2"/>
        <v>527.75</v>
      </c>
      <c r="V8" s="107">
        <f t="shared" si="3"/>
        <v>4749.75</v>
      </c>
      <c r="W8" s="112">
        <f t="shared" si="4"/>
        <v>0</v>
      </c>
      <c r="X8" s="111">
        <f t="shared" si="5"/>
        <v>24.744799999999998</v>
      </c>
      <c r="Y8" s="107">
        <f t="shared" si="6"/>
        <v>5302.2448000000004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 x14ac:dyDescent="0.25">
      <c r="A9" s="103" t="s">
        <v>204</v>
      </c>
      <c r="B9" s="103" t="s">
        <v>207</v>
      </c>
      <c r="C9" s="104" t="s">
        <v>19</v>
      </c>
      <c r="D9" s="103" t="s">
        <v>208</v>
      </c>
      <c r="E9" s="103" t="s">
        <v>206</v>
      </c>
      <c r="F9" s="103"/>
      <c r="G9" s="105">
        <v>1237.2399999999998</v>
      </c>
      <c r="H9" s="103">
        <v>12.760000000000218</v>
      </c>
      <c r="I9" s="105">
        <f t="shared" si="7"/>
        <v>1250</v>
      </c>
      <c r="J9" s="105"/>
      <c r="K9" s="105"/>
      <c r="L9" s="105"/>
      <c r="M9" s="106"/>
      <c r="N9" s="107">
        <f t="shared" si="0"/>
        <v>1250</v>
      </c>
      <c r="O9" s="108"/>
      <c r="P9" s="109"/>
      <c r="Q9" s="109"/>
      <c r="R9" s="110"/>
      <c r="S9" s="110">
        <v>0</v>
      </c>
      <c r="T9" s="107">
        <f t="shared" si="1"/>
        <v>1250</v>
      </c>
      <c r="U9" s="111">
        <f t="shared" si="2"/>
        <v>0</v>
      </c>
      <c r="V9" s="107">
        <f t="shared" si="3"/>
        <v>1250</v>
      </c>
      <c r="W9" s="112">
        <f t="shared" si="4"/>
        <v>125</v>
      </c>
      <c r="X9" s="111">
        <f t="shared" si="5"/>
        <v>24.744799999999998</v>
      </c>
      <c r="Y9" s="107">
        <f t="shared" si="6"/>
        <v>1399.7447999999999</v>
      </c>
      <c r="Z9" s="116" t="s">
        <v>209</v>
      </c>
      <c r="AA9" s="116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</row>
    <row r="10" spans="1:44" x14ac:dyDescent="0.25">
      <c r="A10" s="103" t="s">
        <v>204</v>
      </c>
      <c r="B10" s="103" t="s">
        <v>210</v>
      </c>
      <c r="C10" s="104" t="s">
        <v>21</v>
      </c>
      <c r="D10" s="103" t="s">
        <v>211</v>
      </c>
      <c r="E10" s="103"/>
      <c r="F10" s="103"/>
      <c r="G10" s="105">
        <v>1237.2399999999998</v>
      </c>
      <c r="H10" s="103">
        <v>2262.7600000000002</v>
      </c>
      <c r="I10" s="105">
        <f t="shared" si="7"/>
        <v>3500</v>
      </c>
      <c r="J10" s="105"/>
      <c r="K10" s="105"/>
      <c r="L10" s="105"/>
      <c r="M10" s="106"/>
      <c r="N10" s="107">
        <f t="shared" si="0"/>
        <v>3500</v>
      </c>
      <c r="O10" s="108"/>
      <c r="P10" s="109"/>
      <c r="Q10" s="109"/>
      <c r="R10" s="110"/>
      <c r="S10" s="110">
        <v>2181.2800000000002</v>
      </c>
      <c r="T10" s="107">
        <f t="shared" si="1"/>
        <v>1318.7199999999998</v>
      </c>
      <c r="U10" s="111">
        <f t="shared" si="2"/>
        <v>0</v>
      </c>
      <c r="V10" s="107">
        <f t="shared" si="3"/>
        <v>1318.7199999999998</v>
      </c>
      <c r="W10" s="112">
        <f t="shared" si="4"/>
        <v>350</v>
      </c>
      <c r="X10" s="111">
        <f t="shared" si="5"/>
        <v>24.744799999999998</v>
      </c>
      <c r="Y10" s="107">
        <f t="shared" si="6"/>
        <v>3874.7447999999999</v>
      </c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</row>
    <row r="11" spans="1:44" x14ac:dyDescent="0.25">
      <c r="A11" s="103" t="s">
        <v>204</v>
      </c>
      <c r="B11" s="103" t="s">
        <v>128</v>
      </c>
      <c r="C11" s="104" t="s">
        <v>23</v>
      </c>
      <c r="D11" s="103" t="s">
        <v>212</v>
      </c>
      <c r="E11" s="103"/>
      <c r="F11" s="103"/>
      <c r="G11" s="105">
        <v>1237.2399999999998</v>
      </c>
      <c r="H11" s="103">
        <v>1012.7600000000002</v>
      </c>
      <c r="I11" s="105">
        <f t="shared" si="7"/>
        <v>2250</v>
      </c>
      <c r="J11" s="105"/>
      <c r="K11" s="105"/>
      <c r="L11" s="105"/>
      <c r="M11" s="106"/>
      <c r="N11" s="107">
        <f t="shared" si="0"/>
        <v>2250</v>
      </c>
      <c r="O11" s="108"/>
      <c r="P11" s="109"/>
      <c r="Q11" s="109"/>
      <c r="R11" s="110"/>
      <c r="S11" s="110">
        <v>902.31</v>
      </c>
      <c r="T11" s="107">
        <f t="shared" si="1"/>
        <v>1347.69</v>
      </c>
      <c r="U11" s="111">
        <f t="shared" si="2"/>
        <v>0</v>
      </c>
      <c r="V11" s="107">
        <f t="shared" si="3"/>
        <v>1347.69</v>
      </c>
      <c r="W11" s="112">
        <f t="shared" si="4"/>
        <v>225</v>
      </c>
      <c r="X11" s="111">
        <f t="shared" si="5"/>
        <v>24.744799999999998</v>
      </c>
      <c r="Y11" s="107">
        <f t="shared" si="6"/>
        <v>2499.7447999999999</v>
      </c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 x14ac:dyDescent="0.25">
      <c r="A12" s="103" t="s">
        <v>213</v>
      </c>
      <c r="B12" s="103" t="s">
        <v>214</v>
      </c>
      <c r="C12" s="103" t="s">
        <v>144</v>
      </c>
      <c r="D12" s="103" t="s">
        <v>215</v>
      </c>
      <c r="E12" s="103"/>
      <c r="F12" s="103"/>
      <c r="G12" s="105">
        <v>1237.2399999999998</v>
      </c>
      <c r="H12" s="103">
        <v>1262.7600000000002</v>
      </c>
      <c r="I12" s="105">
        <f t="shared" si="7"/>
        <v>2500</v>
      </c>
      <c r="J12" s="105"/>
      <c r="K12" s="105"/>
      <c r="L12" s="105"/>
      <c r="M12" s="106"/>
      <c r="N12" s="107">
        <f t="shared" si="0"/>
        <v>2500</v>
      </c>
      <c r="O12" s="108"/>
      <c r="P12" s="109"/>
      <c r="Q12" s="109"/>
      <c r="R12" s="110"/>
      <c r="S12" s="110">
        <v>0</v>
      </c>
      <c r="T12" s="107">
        <f t="shared" si="1"/>
        <v>2500</v>
      </c>
      <c r="U12" s="111">
        <f t="shared" si="2"/>
        <v>0</v>
      </c>
      <c r="V12" s="107">
        <f t="shared" si="3"/>
        <v>2500</v>
      </c>
      <c r="W12" s="112">
        <f t="shared" si="4"/>
        <v>250</v>
      </c>
      <c r="X12" s="111">
        <f t="shared" si="5"/>
        <v>24.744799999999998</v>
      </c>
      <c r="Y12" s="107">
        <f t="shared" si="6"/>
        <v>2774.7447999999999</v>
      </c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 x14ac:dyDescent="0.25">
      <c r="A13" s="103" t="s">
        <v>204</v>
      </c>
      <c r="B13" s="103" t="s">
        <v>216</v>
      </c>
      <c r="C13" s="104" t="s">
        <v>27</v>
      </c>
      <c r="D13" s="103" t="s">
        <v>217</v>
      </c>
      <c r="E13" s="103" t="s">
        <v>206</v>
      </c>
      <c r="F13" s="103"/>
      <c r="G13" s="105">
        <v>1237.2399999999998</v>
      </c>
      <c r="H13" s="103">
        <v>1262.7600000000002</v>
      </c>
      <c r="I13" s="105">
        <f t="shared" si="7"/>
        <v>2500</v>
      </c>
      <c r="J13" s="105"/>
      <c r="K13" s="105"/>
      <c r="L13" s="105"/>
      <c r="M13" s="106"/>
      <c r="N13" s="107">
        <f t="shared" si="0"/>
        <v>2500</v>
      </c>
      <c r="O13" s="108"/>
      <c r="P13" s="109"/>
      <c r="Q13" s="109"/>
      <c r="R13" s="110"/>
      <c r="S13" s="110"/>
      <c r="T13" s="107">
        <f t="shared" si="1"/>
        <v>2500</v>
      </c>
      <c r="U13" s="111">
        <f t="shared" si="2"/>
        <v>0</v>
      </c>
      <c r="V13" s="107">
        <f t="shared" si="3"/>
        <v>2500</v>
      </c>
      <c r="W13" s="112">
        <f t="shared" si="4"/>
        <v>250</v>
      </c>
      <c r="X13" s="111">
        <f t="shared" si="5"/>
        <v>24.744799999999998</v>
      </c>
      <c r="Y13" s="107">
        <f t="shared" si="6"/>
        <v>2774.7447999999999</v>
      </c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 x14ac:dyDescent="0.25">
      <c r="A14" s="103" t="s">
        <v>204</v>
      </c>
      <c r="B14" s="103" t="s">
        <v>129</v>
      </c>
      <c r="C14" s="104" t="s">
        <v>29</v>
      </c>
      <c r="D14" s="103" t="s">
        <v>218</v>
      </c>
      <c r="E14" s="117"/>
      <c r="F14" s="117"/>
      <c r="G14" s="105">
        <v>1237.2399999999998</v>
      </c>
      <c r="H14" s="117">
        <v>5262.76</v>
      </c>
      <c r="I14" s="105">
        <f t="shared" si="7"/>
        <v>6500</v>
      </c>
      <c r="J14" s="105"/>
      <c r="K14" s="118"/>
      <c r="L14" s="118"/>
      <c r="M14" s="106"/>
      <c r="N14" s="107">
        <f t="shared" si="0"/>
        <v>6500</v>
      </c>
      <c r="O14" s="108"/>
      <c r="P14" s="109"/>
      <c r="Q14" s="109"/>
      <c r="R14" s="110"/>
      <c r="S14" s="110">
        <v>0</v>
      </c>
      <c r="T14" s="107">
        <f t="shared" si="1"/>
        <v>6500</v>
      </c>
      <c r="U14" s="111">
        <f t="shared" si="2"/>
        <v>650</v>
      </c>
      <c r="V14" s="107">
        <f t="shared" si="3"/>
        <v>5850</v>
      </c>
      <c r="W14" s="112">
        <f t="shared" si="4"/>
        <v>0</v>
      </c>
      <c r="X14" s="111">
        <f t="shared" si="5"/>
        <v>24.744799999999998</v>
      </c>
      <c r="Y14" s="107">
        <f t="shared" si="6"/>
        <v>6524.7448000000004</v>
      </c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</row>
    <row r="15" spans="1:44" x14ac:dyDescent="0.25">
      <c r="A15" s="103" t="s">
        <v>202</v>
      </c>
      <c r="B15" s="103" t="s">
        <v>219</v>
      </c>
      <c r="C15" s="104" t="s">
        <v>33</v>
      </c>
      <c r="D15" s="103" t="s">
        <v>220</v>
      </c>
      <c r="E15" s="103" t="s">
        <v>206</v>
      </c>
      <c r="F15" s="103"/>
      <c r="G15" s="105">
        <v>1237.2399999999998</v>
      </c>
      <c r="H15" s="103">
        <v>162.76000000000022</v>
      </c>
      <c r="I15" s="105">
        <f t="shared" si="7"/>
        <v>1400</v>
      </c>
      <c r="J15" s="105"/>
      <c r="K15" s="105"/>
      <c r="L15" s="105"/>
      <c r="M15" s="106"/>
      <c r="N15" s="107">
        <f t="shared" si="0"/>
        <v>1400</v>
      </c>
      <c r="O15" s="108"/>
      <c r="P15" s="109"/>
      <c r="Q15" s="109"/>
      <c r="R15" s="110"/>
      <c r="S15" s="110">
        <v>0</v>
      </c>
      <c r="T15" s="107">
        <f t="shared" si="1"/>
        <v>1400</v>
      </c>
      <c r="U15" s="111">
        <f t="shared" si="2"/>
        <v>0</v>
      </c>
      <c r="V15" s="107">
        <f t="shared" si="3"/>
        <v>1400</v>
      </c>
      <c r="W15" s="112">
        <f t="shared" si="4"/>
        <v>140</v>
      </c>
      <c r="X15" s="111">
        <f t="shared" si="5"/>
        <v>24.744799999999998</v>
      </c>
      <c r="Y15" s="107">
        <f t="shared" si="6"/>
        <v>1564.7447999999999</v>
      </c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</row>
    <row r="16" spans="1:44" x14ac:dyDescent="0.25">
      <c r="A16" s="103" t="s">
        <v>204</v>
      </c>
      <c r="B16" s="103" t="s">
        <v>221</v>
      </c>
      <c r="C16" s="104" t="s">
        <v>35</v>
      </c>
      <c r="D16" s="103" t="s">
        <v>220</v>
      </c>
      <c r="E16" s="103"/>
      <c r="F16" s="103"/>
      <c r="G16" s="105">
        <v>1237.2399999999998</v>
      </c>
      <c r="H16" s="103">
        <v>162.76000000000022</v>
      </c>
      <c r="I16" s="105">
        <f t="shared" si="7"/>
        <v>1400</v>
      </c>
      <c r="J16" s="105"/>
      <c r="K16" s="105"/>
      <c r="L16" s="105"/>
      <c r="M16" s="106"/>
      <c r="N16" s="107">
        <f t="shared" si="0"/>
        <v>1400</v>
      </c>
      <c r="O16" s="108"/>
      <c r="P16" s="109"/>
      <c r="Q16" s="109"/>
      <c r="R16" s="110"/>
      <c r="S16" s="110">
        <v>0</v>
      </c>
      <c r="T16" s="107">
        <f t="shared" si="1"/>
        <v>1400</v>
      </c>
      <c r="U16" s="111">
        <f t="shared" si="2"/>
        <v>0</v>
      </c>
      <c r="V16" s="107">
        <f t="shared" si="3"/>
        <v>1400</v>
      </c>
      <c r="W16" s="112">
        <f t="shared" si="4"/>
        <v>140</v>
      </c>
      <c r="X16" s="111">
        <f t="shared" si="5"/>
        <v>24.744799999999998</v>
      </c>
      <c r="Y16" s="107">
        <f t="shared" si="6"/>
        <v>1564.7447999999999</v>
      </c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</row>
    <row r="17" spans="1:44" x14ac:dyDescent="0.25">
      <c r="A17" s="103" t="s">
        <v>204</v>
      </c>
      <c r="B17" s="103" t="s">
        <v>130</v>
      </c>
      <c r="C17" s="104" t="s">
        <v>37</v>
      </c>
      <c r="D17" s="103" t="s">
        <v>222</v>
      </c>
      <c r="E17" s="103" t="s">
        <v>206</v>
      </c>
      <c r="F17" s="117"/>
      <c r="G17" s="105">
        <v>1237.2399999999998</v>
      </c>
      <c r="H17" s="117">
        <v>1262.7600000000002</v>
      </c>
      <c r="I17" s="105">
        <f t="shared" si="7"/>
        <v>2500</v>
      </c>
      <c r="J17" s="105"/>
      <c r="K17" s="118"/>
      <c r="L17" s="118"/>
      <c r="M17" s="106"/>
      <c r="N17" s="107">
        <f t="shared" si="0"/>
        <v>2500</v>
      </c>
      <c r="O17" s="108"/>
      <c r="P17" s="109"/>
      <c r="Q17" s="109"/>
      <c r="R17" s="110"/>
      <c r="S17" s="110">
        <v>1551.8</v>
      </c>
      <c r="T17" s="107">
        <f t="shared" si="1"/>
        <v>948.2</v>
      </c>
      <c r="U17" s="111">
        <f t="shared" si="2"/>
        <v>0</v>
      </c>
      <c r="V17" s="107">
        <f t="shared" si="3"/>
        <v>948.2</v>
      </c>
      <c r="W17" s="112">
        <f t="shared" si="4"/>
        <v>250</v>
      </c>
      <c r="X17" s="111">
        <f t="shared" si="5"/>
        <v>24.744799999999998</v>
      </c>
      <c r="Y17" s="107">
        <f t="shared" si="6"/>
        <v>2774.7447999999999</v>
      </c>
      <c r="Z17" s="116" t="s">
        <v>209</v>
      </c>
      <c r="AA17" s="119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</row>
    <row r="18" spans="1:44" x14ac:dyDescent="0.25">
      <c r="A18" s="103" t="s">
        <v>204</v>
      </c>
      <c r="B18" s="103" t="s">
        <v>223</v>
      </c>
      <c r="C18" s="104" t="s">
        <v>39</v>
      </c>
      <c r="D18" s="103" t="s">
        <v>224</v>
      </c>
      <c r="E18" s="103"/>
      <c r="F18" s="103"/>
      <c r="G18" s="105">
        <v>1237.2399999999998</v>
      </c>
      <c r="H18" s="103">
        <v>1512.7600000000002</v>
      </c>
      <c r="I18" s="105">
        <f t="shared" si="7"/>
        <v>2750</v>
      </c>
      <c r="J18" s="105"/>
      <c r="K18" s="105"/>
      <c r="L18" s="105"/>
      <c r="M18" s="106"/>
      <c r="N18" s="107">
        <f t="shared" si="0"/>
        <v>2750</v>
      </c>
      <c r="O18" s="108"/>
      <c r="P18" s="109"/>
      <c r="Q18" s="109"/>
      <c r="R18" s="110"/>
      <c r="S18" s="110">
        <v>0</v>
      </c>
      <c r="T18" s="107">
        <f t="shared" si="1"/>
        <v>2750</v>
      </c>
      <c r="U18" s="111">
        <f t="shared" si="2"/>
        <v>0</v>
      </c>
      <c r="V18" s="107">
        <f t="shared" si="3"/>
        <v>2750</v>
      </c>
      <c r="W18" s="112">
        <f t="shared" si="4"/>
        <v>275</v>
      </c>
      <c r="X18" s="111">
        <f t="shared" si="5"/>
        <v>24.744799999999998</v>
      </c>
      <c r="Y18" s="107">
        <f t="shared" si="6"/>
        <v>3049.7447999999999</v>
      </c>
      <c r="Z18" s="120" t="s">
        <v>225</v>
      </c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</row>
    <row r="19" spans="1:44" x14ac:dyDescent="0.25">
      <c r="A19" s="103" t="s">
        <v>204</v>
      </c>
      <c r="B19" s="103" t="s">
        <v>226</v>
      </c>
      <c r="C19" s="104" t="s">
        <v>41</v>
      </c>
      <c r="D19" s="103" t="s">
        <v>217</v>
      </c>
      <c r="E19" s="103" t="s">
        <v>206</v>
      </c>
      <c r="F19" s="117"/>
      <c r="G19" s="105">
        <v>1237.2399999999998</v>
      </c>
      <c r="H19" s="117">
        <v>1262.7600000000002</v>
      </c>
      <c r="I19" s="105">
        <f t="shared" si="7"/>
        <v>2500</v>
      </c>
      <c r="J19" s="105"/>
      <c r="K19" s="121"/>
      <c r="L19" s="118"/>
      <c r="M19" s="106"/>
      <c r="N19" s="107">
        <f t="shared" si="0"/>
        <v>2500</v>
      </c>
      <c r="O19" s="108"/>
      <c r="P19" s="109"/>
      <c r="Q19" s="109"/>
      <c r="R19" s="110">
        <v>177.91</v>
      </c>
      <c r="S19" s="110">
        <v>0</v>
      </c>
      <c r="T19" s="107">
        <f t="shared" si="1"/>
        <v>2322.09</v>
      </c>
      <c r="U19" s="111">
        <f t="shared" si="2"/>
        <v>0</v>
      </c>
      <c r="V19" s="107">
        <f t="shared" si="3"/>
        <v>2322.09</v>
      </c>
      <c r="W19" s="112">
        <f t="shared" si="4"/>
        <v>250</v>
      </c>
      <c r="X19" s="111">
        <f t="shared" si="5"/>
        <v>24.744799999999998</v>
      </c>
      <c r="Y19" s="107">
        <f t="shared" si="6"/>
        <v>2774.7447999999999</v>
      </c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</row>
    <row r="20" spans="1:44" x14ac:dyDescent="0.25">
      <c r="A20" s="103" t="s">
        <v>213</v>
      </c>
      <c r="B20" s="103" t="s">
        <v>227</v>
      </c>
      <c r="C20" s="103" t="s">
        <v>43</v>
      </c>
      <c r="D20" s="103" t="s">
        <v>228</v>
      </c>
      <c r="E20" s="103"/>
      <c r="F20" s="103"/>
      <c r="G20" s="105">
        <v>1237.2399999999998</v>
      </c>
      <c r="H20" s="103">
        <v>6262.76</v>
      </c>
      <c r="I20" s="105">
        <f t="shared" si="7"/>
        <v>7500</v>
      </c>
      <c r="J20" s="105"/>
      <c r="K20" s="105"/>
      <c r="L20" s="105"/>
      <c r="M20" s="106"/>
      <c r="N20" s="107">
        <f t="shared" si="0"/>
        <v>7500</v>
      </c>
      <c r="O20" s="108"/>
      <c r="P20" s="109"/>
      <c r="Q20" s="109"/>
      <c r="R20" s="110"/>
      <c r="S20" s="110">
        <v>0</v>
      </c>
      <c r="T20" s="107">
        <f t="shared" si="1"/>
        <v>7500</v>
      </c>
      <c r="U20" s="111">
        <f t="shared" si="2"/>
        <v>750</v>
      </c>
      <c r="V20" s="107">
        <f t="shared" si="3"/>
        <v>6750</v>
      </c>
      <c r="W20" s="112">
        <f t="shared" si="4"/>
        <v>0</v>
      </c>
      <c r="X20" s="111">
        <f>G20*0.02</f>
        <v>24.744799999999998</v>
      </c>
      <c r="Y20" s="107">
        <f>+N20+W20+X20</f>
        <v>7524.7448000000004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</row>
    <row r="21" spans="1:44" x14ac:dyDescent="0.25">
      <c r="A21" s="103" t="s">
        <v>202</v>
      </c>
      <c r="B21" s="103" t="s">
        <v>139</v>
      </c>
      <c r="C21" s="104" t="s">
        <v>45</v>
      </c>
      <c r="D21" s="103" t="s">
        <v>229</v>
      </c>
      <c r="E21" s="103"/>
      <c r="F21" s="103"/>
      <c r="G21" s="105">
        <v>1237.2399999999998</v>
      </c>
      <c r="H21" s="103">
        <v>-37.239999999999782</v>
      </c>
      <c r="I21" s="105">
        <f t="shared" si="7"/>
        <v>1200</v>
      </c>
      <c r="J21" s="105">
        <v>2452.85</v>
      </c>
      <c r="K21" s="105"/>
      <c r="L21" s="105"/>
      <c r="M21" s="106"/>
      <c r="N21" s="107">
        <f t="shared" si="0"/>
        <v>3652.85</v>
      </c>
      <c r="O21" s="108"/>
      <c r="P21" s="109"/>
      <c r="Q21" s="109"/>
      <c r="R21" s="110"/>
      <c r="S21" s="110">
        <v>0</v>
      </c>
      <c r="T21" s="107">
        <f t="shared" si="1"/>
        <v>3652.85</v>
      </c>
      <c r="U21" s="111">
        <f t="shared" si="2"/>
        <v>0</v>
      </c>
      <c r="V21" s="107">
        <f t="shared" si="3"/>
        <v>3652.85</v>
      </c>
      <c r="W21" s="112">
        <f t="shared" si="4"/>
        <v>365.28500000000003</v>
      </c>
      <c r="X21" s="111">
        <f t="shared" si="5"/>
        <v>24.744799999999998</v>
      </c>
      <c r="Y21" s="107">
        <f t="shared" si="6"/>
        <v>4042.8797999999997</v>
      </c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</row>
    <row r="22" spans="1:44" x14ac:dyDescent="0.25">
      <c r="A22" s="103" t="s">
        <v>213</v>
      </c>
      <c r="B22" s="103" t="s">
        <v>230</v>
      </c>
      <c r="C22" s="104" t="s">
        <v>163</v>
      </c>
      <c r="D22" s="103" t="s">
        <v>231</v>
      </c>
      <c r="E22" s="103"/>
      <c r="F22" s="103"/>
      <c r="G22" s="105">
        <v>1237.24</v>
      </c>
      <c r="H22" s="103">
        <v>1262.76</v>
      </c>
      <c r="I22" s="105">
        <f t="shared" si="7"/>
        <v>2500</v>
      </c>
      <c r="J22" s="105"/>
      <c r="K22" s="105"/>
      <c r="L22" s="105"/>
      <c r="M22" s="106"/>
      <c r="N22" s="107">
        <f t="shared" si="0"/>
        <v>2500</v>
      </c>
      <c r="O22" s="108"/>
      <c r="P22" s="109"/>
      <c r="Q22" s="109"/>
      <c r="R22" s="110"/>
      <c r="S22" s="110">
        <v>0</v>
      </c>
      <c r="T22" s="107">
        <f t="shared" si="1"/>
        <v>2500</v>
      </c>
      <c r="U22" s="111">
        <f t="shared" si="2"/>
        <v>0</v>
      </c>
      <c r="V22" s="107">
        <f t="shared" si="3"/>
        <v>2500</v>
      </c>
      <c r="W22" s="112">
        <f t="shared" si="4"/>
        <v>250</v>
      </c>
      <c r="X22" s="111">
        <f t="shared" si="5"/>
        <v>24.744800000000001</v>
      </c>
      <c r="Y22" s="107">
        <f t="shared" si="6"/>
        <v>2774.7447999999999</v>
      </c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</row>
    <row r="23" spans="1:44" x14ac:dyDescent="0.25">
      <c r="A23" s="103" t="s">
        <v>202</v>
      </c>
      <c r="B23" s="103" t="s">
        <v>232</v>
      </c>
      <c r="C23" s="104" t="s">
        <v>47</v>
      </c>
      <c r="D23" s="103" t="s">
        <v>123</v>
      </c>
      <c r="E23" s="103"/>
      <c r="F23" s="103"/>
      <c r="G23" s="105">
        <v>1237.2399999999998</v>
      </c>
      <c r="H23" s="103">
        <v>-37.239999999999782</v>
      </c>
      <c r="I23" s="105">
        <f t="shared" si="7"/>
        <v>1200</v>
      </c>
      <c r="J23" s="105"/>
      <c r="K23" s="105"/>
      <c r="L23" s="105"/>
      <c r="M23" s="106"/>
      <c r="N23" s="107">
        <f t="shared" si="0"/>
        <v>1200</v>
      </c>
      <c r="O23" s="108"/>
      <c r="P23" s="109"/>
      <c r="Q23" s="109"/>
      <c r="R23" s="110"/>
      <c r="S23" s="110">
        <v>0</v>
      </c>
      <c r="T23" s="107">
        <f t="shared" si="1"/>
        <v>1200</v>
      </c>
      <c r="U23" s="111">
        <f t="shared" si="2"/>
        <v>0</v>
      </c>
      <c r="V23" s="107">
        <f t="shared" si="3"/>
        <v>1200</v>
      </c>
      <c r="W23" s="112">
        <f t="shared" si="4"/>
        <v>120</v>
      </c>
      <c r="X23" s="111">
        <f t="shared" si="5"/>
        <v>24.744799999999998</v>
      </c>
      <c r="Y23" s="107">
        <f t="shared" si="6"/>
        <v>1344.7447999999999</v>
      </c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</row>
    <row r="24" spans="1:44" x14ac:dyDescent="0.25">
      <c r="A24" s="103" t="s">
        <v>204</v>
      </c>
      <c r="B24" s="103" t="s">
        <v>126</v>
      </c>
      <c r="C24" s="104">
        <v>3</v>
      </c>
      <c r="D24" s="103" t="s">
        <v>233</v>
      </c>
      <c r="E24" s="103" t="s">
        <v>234</v>
      </c>
      <c r="F24" s="103"/>
      <c r="G24" s="105">
        <v>1237.2399999999998</v>
      </c>
      <c r="H24" s="103">
        <v>21262.76</v>
      </c>
      <c r="I24" s="105">
        <f t="shared" si="7"/>
        <v>22500</v>
      </c>
      <c r="J24" s="105"/>
      <c r="K24" s="105"/>
      <c r="L24" s="105"/>
      <c r="M24" s="106"/>
      <c r="N24" s="107">
        <f t="shared" si="0"/>
        <v>22500</v>
      </c>
      <c r="O24" s="108"/>
      <c r="P24" s="109"/>
      <c r="Q24" s="109"/>
      <c r="R24" s="110">
        <v>479.28</v>
      </c>
      <c r="S24" s="110">
        <v>323.91000000000003</v>
      </c>
      <c r="T24" s="107">
        <f t="shared" si="1"/>
        <v>21696.81</v>
      </c>
      <c r="U24" s="111">
        <f t="shared" si="2"/>
        <v>2250</v>
      </c>
      <c r="V24" s="107">
        <f t="shared" si="3"/>
        <v>19446.810000000001</v>
      </c>
      <c r="W24" s="112">
        <f t="shared" si="4"/>
        <v>0</v>
      </c>
      <c r="X24" s="111">
        <f t="shared" si="5"/>
        <v>24.744799999999998</v>
      </c>
      <c r="Y24" s="107">
        <f t="shared" si="6"/>
        <v>22524.7448</v>
      </c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</row>
    <row r="25" spans="1:44" x14ac:dyDescent="0.25">
      <c r="A25" s="103" t="s">
        <v>213</v>
      </c>
      <c r="B25" s="103" t="s">
        <v>146</v>
      </c>
      <c r="C25" s="103" t="s">
        <v>145</v>
      </c>
      <c r="D25" s="103" t="s">
        <v>235</v>
      </c>
      <c r="E25" s="103"/>
      <c r="F25" s="103"/>
      <c r="G25" s="105">
        <v>1237.2399999999998</v>
      </c>
      <c r="H25" s="103">
        <v>1262.7600000000002</v>
      </c>
      <c r="I25" s="105">
        <f t="shared" si="7"/>
        <v>2500</v>
      </c>
      <c r="J25" s="105"/>
      <c r="K25" s="105"/>
      <c r="L25" s="105"/>
      <c r="M25" s="106"/>
      <c r="N25" s="107">
        <f t="shared" si="0"/>
        <v>2500</v>
      </c>
      <c r="O25" s="108"/>
      <c r="P25" s="109"/>
      <c r="Q25" s="109"/>
      <c r="R25" s="110"/>
      <c r="S25" s="110">
        <v>0</v>
      </c>
      <c r="T25" s="107">
        <f t="shared" si="1"/>
        <v>2500</v>
      </c>
      <c r="U25" s="111">
        <f t="shared" si="2"/>
        <v>0</v>
      </c>
      <c r="V25" s="107">
        <f t="shared" si="3"/>
        <v>2500</v>
      </c>
      <c r="W25" s="112">
        <f t="shared" si="4"/>
        <v>250</v>
      </c>
      <c r="X25" s="111">
        <f t="shared" si="5"/>
        <v>24.744799999999998</v>
      </c>
      <c r="Y25" s="107">
        <f t="shared" si="6"/>
        <v>2774.7447999999999</v>
      </c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</row>
    <row r="26" spans="1:44" s="114" customFormat="1" x14ac:dyDescent="0.25">
      <c r="A26" s="103" t="s">
        <v>204</v>
      </c>
      <c r="B26" s="103" t="s">
        <v>236</v>
      </c>
      <c r="C26" s="104" t="s">
        <v>53</v>
      </c>
      <c r="D26" s="103" t="s">
        <v>237</v>
      </c>
      <c r="E26" s="103"/>
      <c r="F26" s="103"/>
      <c r="G26" s="105">
        <v>1237.2399999999998</v>
      </c>
      <c r="H26" s="103">
        <v>762.76</v>
      </c>
      <c r="I26" s="105">
        <f t="shared" si="7"/>
        <v>1999.9999999999998</v>
      </c>
      <c r="J26" s="105"/>
      <c r="K26" s="118"/>
      <c r="L26" s="118"/>
      <c r="M26" s="106"/>
      <c r="N26" s="107">
        <f t="shared" si="0"/>
        <v>1999.9999999999998</v>
      </c>
      <c r="O26" s="108"/>
      <c r="P26" s="109"/>
      <c r="Q26" s="109"/>
      <c r="R26" s="110"/>
      <c r="S26" s="110">
        <v>0</v>
      </c>
      <c r="T26" s="107">
        <f t="shared" si="1"/>
        <v>1999.9999999999998</v>
      </c>
      <c r="U26" s="111">
        <f t="shared" si="2"/>
        <v>0</v>
      </c>
      <c r="V26" s="107">
        <f t="shared" si="3"/>
        <v>1999.9999999999998</v>
      </c>
      <c r="W26" s="112">
        <f t="shared" si="4"/>
        <v>200</v>
      </c>
      <c r="X26" s="111">
        <f t="shared" si="5"/>
        <v>24.744799999999998</v>
      </c>
      <c r="Y26" s="107">
        <f t="shared" si="6"/>
        <v>2224.7447999999999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</row>
    <row r="27" spans="1:44" x14ac:dyDescent="0.25">
      <c r="A27" s="103" t="s">
        <v>202</v>
      </c>
      <c r="B27" s="103" t="s">
        <v>238</v>
      </c>
      <c r="C27" s="104" t="s">
        <v>55</v>
      </c>
      <c r="D27" s="103" t="s">
        <v>123</v>
      </c>
      <c r="E27" s="103"/>
      <c r="F27" s="103"/>
      <c r="G27" s="105">
        <v>1237.2399999999998</v>
      </c>
      <c r="H27" s="103">
        <v>-37.239999999999782</v>
      </c>
      <c r="I27" s="105">
        <f t="shared" si="7"/>
        <v>1200</v>
      </c>
      <c r="J27" s="105">
        <v>2001</v>
      </c>
      <c r="K27" s="105"/>
      <c r="L27" s="105"/>
      <c r="M27" s="106"/>
      <c r="N27" s="107">
        <f t="shared" si="0"/>
        <v>3201</v>
      </c>
      <c r="O27" s="108"/>
      <c r="P27" s="109"/>
      <c r="Q27" s="109"/>
      <c r="R27" s="110"/>
      <c r="S27" s="110">
        <v>0</v>
      </c>
      <c r="T27" s="107">
        <f t="shared" si="1"/>
        <v>3201</v>
      </c>
      <c r="U27" s="111">
        <f t="shared" si="2"/>
        <v>0</v>
      </c>
      <c r="V27" s="107">
        <f t="shared" si="3"/>
        <v>3201</v>
      </c>
      <c r="W27" s="112">
        <f t="shared" si="4"/>
        <v>320.10000000000002</v>
      </c>
      <c r="X27" s="111">
        <f t="shared" si="5"/>
        <v>24.744799999999998</v>
      </c>
      <c r="Y27" s="107">
        <f t="shared" si="6"/>
        <v>3545.8447999999999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</row>
    <row r="28" spans="1:44" s="129" customFormat="1" x14ac:dyDescent="0.25">
      <c r="A28" s="122" t="s">
        <v>239</v>
      </c>
      <c r="B28" s="122" t="s">
        <v>240</v>
      </c>
      <c r="C28" s="123"/>
      <c r="D28" s="122" t="s">
        <v>241</v>
      </c>
      <c r="E28" s="122"/>
      <c r="F28" s="122"/>
      <c r="G28" s="124">
        <v>0</v>
      </c>
      <c r="H28" s="124">
        <v>0</v>
      </c>
      <c r="I28" s="124">
        <f t="shared" si="7"/>
        <v>0</v>
      </c>
      <c r="J28" s="124"/>
      <c r="K28" s="124"/>
      <c r="L28" s="124"/>
      <c r="M28" s="125"/>
      <c r="N28" s="126">
        <f t="shared" si="0"/>
        <v>0</v>
      </c>
      <c r="O28" s="124"/>
      <c r="P28" s="127"/>
      <c r="Q28" s="127"/>
      <c r="R28" s="128"/>
      <c r="S28" s="128"/>
      <c r="T28" s="126">
        <f t="shared" si="1"/>
        <v>0</v>
      </c>
      <c r="U28" s="127"/>
      <c r="V28" s="126">
        <f t="shared" si="3"/>
        <v>0</v>
      </c>
      <c r="W28" s="127">
        <f t="shared" si="4"/>
        <v>0</v>
      </c>
      <c r="X28" s="127">
        <f t="shared" si="5"/>
        <v>0</v>
      </c>
      <c r="Y28" s="126">
        <f t="shared" si="6"/>
        <v>0</v>
      </c>
      <c r="Z28" s="129" t="s">
        <v>242</v>
      </c>
    </row>
    <row r="29" spans="1:44" x14ac:dyDescent="0.25">
      <c r="A29" s="103" t="s">
        <v>204</v>
      </c>
      <c r="B29" s="103" t="s">
        <v>243</v>
      </c>
      <c r="C29" s="104" t="s">
        <v>164</v>
      </c>
      <c r="D29" s="103" t="s">
        <v>237</v>
      </c>
      <c r="E29" s="103"/>
      <c r="F29" s="103"/>
      <c r="G29" s="105">
        <v>1237.24</v>
      </c>
      <c r="H29" s="103">
        <v>762.76</v>
      </c>
      <c r="I29" s="105">
        <f t="shared" si="7"/>
        <v>2000</v>
      </c>
      <c r="J29" s="105"/>
      <c r="K29" s="105"/>
      <c r="L29" s="105"/>
      <c r="M29" s="106"/>
      <c r="N29" s="107">
        <f t="shared" si="0"/>
        <v>2000</v>
      </c>
      <c r="O29" s="108"/>
      <c r="P29" s="109"/>
      <c r="Q29" s="109"/>
      <c r="R29" s="110"/>
      <c r="S29" s="110">
        <v>0</v>
      </c>
      <c r="T29" s="107">
        <f t="shared" si="1"/>
        <v>2000</v>
      </c>
      <c r="U29" s="111">
        <f t="shared" si="2"/>
        <v>0</v>
      </c>
      <c r="V29" s="107">
        <f t="shared" si="3"/>
        <v>2000</v>
      </c>
      <c r="W29" s="112">
        <f t="shared" si="4"/>
        <v>200</v>
      </c>
      <c r="X29" s="111">
        <f t="shared" si="5"/>
        <v>24.744800000000001</v>
      </c>
      <c r="Y29" s="107">
        <f t="shared" si="6"/>
        <v>2224.7447999999999</v>
      </c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</row>
    <row r="30" spans="1:44" x14ac:dyDescent="0.25">
      <c r="A30" s="103" t="s">
        <v>204</v>
      </c>
      <c r="B30" s="103" t="s">
        <v>132</v>
      </c>
      <c r="C30" s="104" t="s">
        <v>57</v>
      </c>
      <c r="D30" s="103" t="s">
        <v>244</v>
      </c>
      <c r="E30" s="103" t="s">
        <v>206</v>
      </c>
      <c r="F30" s="103"/>
      <c r="G30" s="105">
        <v>1237.2399999999998</v>
      </c>
      <c r="H30" s="103">
        <v>1012.7600000000002</v>
      </c>
      <c r="I30" s="105">
        <f t="shared" si="7"/>
        <v>2250</v>
      </c>
      <c r="J30" s="105"/>
      <c r="K30" s="105"/>
      <c r="L30" s="105"/>
      <c r="M30" s="106"/>
      <c r="N30" s="107">
        <f t="shared" si="0"/>
        <v>2250</v>
      </c>
      <c r="O30" s="108"/>
      <c r="P30" s="109"/>
      <c r="Q30" s="109"/>
      <c r="R30" s="110"/>
      <c r="S30" s="110">
        <v>0</v>
      </c>
      <c r="T30" s="107">
        <f t="shared" si="1"/>
        <v>2250</v>
      </c>
      <c r="U30" s="111">
        <f t="shared" si="2"/>
        <v>0</v>
      </c>
      <c r="V30" s="107">
        <f t="shared" si="3"/>
        <v>2250</v>
      </c>
      <c r="W30" s="112">
        <f t="shared" si="4"/>
        <v>225</v>
      </c>
      <c r="X30" s="111">
        <f t="shared" si="5"/>
        <v>24.744799999999998</v>
      </c>
      <c r="Y30" s="107">
        <f t="shared" si="6"/>
        <v>2499.7447999999999</v>
      </c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</row>
    <row r="31" spans="1:44" s="114" customFormat="1" x14ac:dyDescent="0.25">
      <c r="A31" s="103" t="s">
        <v>245</v>
      </c>
      <c r="B31" s="103" t="s">
        <v>246</v>
      </c>
      <c r="C31" s="104" t="s">
        <v>59</v>
      </c>
      <c r="D31" s="103" t="s">
        <v>247</v>
      </c>
      <c r="E31" s="117"/>
      <c r="F31" s="117"/>
      <c r="G31" s="105">
        <v>1237.2399999999998</v>
      </c>
      <c r="H31" s="117">
        <v>762.76000000000022</v>
      </c>
      <c r="I31" s="105">
        <f t="shared" si="7"/>
        <v>2000</v>
      </c>
      <c r="J31" s="105"/>
      <c r="K31" s="118"/>
      <c r="L31" s="118"/>
      <c r="M31" s="106"/>
      <c r="N31" s="107">
        <f t="shared" si="0"/>
        <v>2000</v>
      </c>
      <c r="O31" s="108"/>
      <c r="P31" s="109"/>
      <c r="Q31" s="109"/>
      <c r="R31" s="110"/>
      <c r="S31" s="110">
        <v>0</v>
      </c>
      <c r="T31" s="107">
        <f t="shared" si="1"/>
        <v>2000</v>
      </c>
      <c r="U31" s="111">
        <f t="shared" si="2"/>
        <v>0</v>
      </c>
      <c r="V31" s="107">
        <f t="shared" si="3"/>
        <v>2000</v>
      </c>
      <c r="W31" s="112">
        <f t="shared" si="4"/>
        <v>200</v>
      </c>
      <c r="X31" s="111">
        <f t="shared" si="5"/>
        <v>24.744799999999998</v>
      </c>
      <c r="Y31" s="107">
        <f t="shared" si="6"/>
        <v>2224.7447999999999</v>
      </c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</row>
    <row r="32" spans="1:44" s="114" customFormat="1" x14ac:dyDescent="0.25">
      <c r="A32" s="103" t="s">
        <v>202</v>
      </c>
      <c r="B32" s="103" t="s">
        <v>248</v>
      </c>
      <c r="C32" s="104" t="s">
        <v>61</v>
      </c>
      <c r="D32" s="103" t="s">
        <v>122</v>
      </c>
      <c r="E32" s="103"/>
      <c r="F32" s="103"/>
      <c r="G32" s="105">
        <v>1200</v>
      </c>
      <c r="H32" s="103">
        <v>0</v>
      </c>
      <c r="I32" s="105">
        <f t="shared" si="7"/>
        <v>1200</v>
      </c>
      <c r="J32" s="105">
        <v>1986.33</v>
      </c>
      <c r="K32" s="105"/>
      <c r="L32" s="105"/>
      <c r="M32" s="106"/>
      <c r="N32" s="107">
        <f t="shared" si="0"/>
        <v>3186.33</v>
      </c>
      <c r="O32" s="108"/>
      <c r="P32" s="109"/>
      <c r="Q32" s="109"/>
      <c r="R32" s="110"/>
      <c r="S32" s="110">
        <v>0</v>
      </c>
      <c r="T32" s="107">
        <f t="shared" si="1"/>
        <v>3186.33</v>
      </c>
      <c r="U32" s="111">
        <f t="shared" si="2"/>
        <v>0</v>
      </c>
      <c r="V32" s="107">
        <f t="shared" si="3"/>
        <v>3186.33</v>
      </c>
      <c r="W32" s="112">
        <f t="shared" si="4"/>
        <v>318.63300000000004</v>
      </c>
      <c r="X32" s="111">
        <f t="shared" si="5"/>
        <v>24</v>
      </c>
      <c r="Y32" s="107">
        <f t="shared" si="6"/>
        <v>3528.9629999999997</v>
      </c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</row>
    <row r="33" spans="1:44" s="114" customFormat="1" x14ac:dyDescent="0.25">
      <c r="A33" s="103" t="s">
        <v>204</v>
      </c>
      <c r="B33" s="103" t="s">
        <v>131</v>
      </c>
      <c r="C33" s="104" t="s">
        <v>63</v>
      </c>
      <c r="D33" s="103" t="s">
        <v>249</v>
      </c>
      <c r="E33" s="103"/>
      <c r="F33" s="103"/>
      <c r="G33" s="105">
        <v>1237.2399999999998</v>
      </c>
      <c r="H33" s="103">
        <v>762.76000000000022</v>
      </c>
      <c r="I33" s="105">
        <f t="shared" si="7"/>
        <v>2000</v>
      </c>
      <c r="J33" s="105"/>
      <c r="K33" s="118"/>
      <c r="L33" s="118"/>
      <c r="M33" s="106"/>
      <c r="N33" s="107">
        <f t="shared" si="0"/>
        <v>2000</v>
      </c>
      <c r="O33" s="108"/>
      <c r="P33" s="109"/>
      <c r="Q33" s="109"/>
      <c r="R33" s="110"/>
      <c r="S33" s="110">
        <v>313.89999999999998</v>
      </c>
      <c r="T33" s="107">
        <f t="shared" si="1"/>
        <v>1686.1</v>
      </c>
      <c r="U33" s="111">
        <f t="shared" si="2"/>
        <v>0</v>
      </c>
      <c r="V33" s="107">
        <f t="shared" si="3"/>
        <v>1686.1</v>
      </c>
      <c r="W33" s="112">
        <f t="shared" si="4"/>
        <v>200</v>
      </c>
      <c r="X33" s="111">
        <f t="shared" si="5"/>
        <v>24.744799999999998</v>
      </c>
      <c r="Y33" s="107">
        <f t="shared" si="6"/>
        <v>2224.7447999999999</v>
      </c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</row>
    <row r="34" spans="1:44" s="114" customFormat="1" x14ac:dyDescent="0.25">
      <c r="A34" s="103" t="s">
        <v>202</v>
      </c>
      <c r="B34" s="103" t="s">
        <v>250</v>
      </c>
      <c r="C34" s="104" t="s">
        <v>65</v>
      </c>
      <c r="D34" s="103" t="s">
        <v>123</v>
      </c>
      <c r="E34" s="103"/>
      <c r="F34" s="103"/>
      <c r="G34" s="105">
        <v>1237.2399999999998</v>
      </c>
      <c r="H34" s="103">
        <v>-37.239999999999782</v>
      </c>
      <c r="I34" s="105">
        <f t="shared" si="7"/>
        <v>1200</v>
      </c>
      <c r="J34" s="105">
        <v>1938.1</v>
      </c>
      <c r="K34" s="105"/>
      <c r="L34" s="105"/>
      <c r="M34" s="106"/>
      <c r="N34" s="107">
        <f t="shared" si="0"/>
        <v>3138.1</v>
      </c>
      <c r="O34" s="108"/>
      <c r="P34" s="109"/>
      <c r="Q34" s="109"/>
      <c r="R34" s="110"/>
      <c r="S34" s="110">
        <v>215.92</v>
      </c>
      <c r="T34" s="107">
        <f t="shared" si="1"/>
        <v>2922.18</v>
      </c>
      <c r="U34" s="111">
        <f t="shared" si="2"/>
        <v>0</v>
      </c>
      <c r="V34" s="107">
        <f t="shared" si="3"/>
        <v>2922.18</v>
      </c>
      <c r="W34" s="112">
        <f t="shared" si="4"/>
        <v>313.81</v>
      </c>
      <c r="X34" s="111">
        <f t="shared" si="5"/>
        <v>24.744799999999998</v>
      </c>
      <c r="Y34" s="107">
        <f t="shared" si="6"/>
        <v>3476.6547999999998</v>
      </c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</row>
    <row r="35" spans="1:44" x14ac:dyDescent="0.25">
      <c r="A35" s="103" t="s">
        <v>204</v>
      </c>
      <c r="B35" s="103" t="s">
        <v>251</v>
      </c>
      <c r="C35" s="104">
        <v>56</v>
      </c>
      <c r="D35" s="103" t="s">
        <v>252</v>
      </c>
      <c r="E35" s="103"/>
      <c r="F35" s="103"/>
      <c r="G35" s="105">
        <v>1237.2399999999998</v>
      </c>
      <c r="H35" s="103">
        <v>512.76000000000022</v>
      </c>
      <c r="I35" s="105">
        <f t="shared" si="7"/>
        <v>1750</v>
      </c>
      <c r="J35" s="105"/>
      <c r="K35" s="105"/>
      <c r="L35" s="105"/>
      <c r="M35" s="106"/>
      <c r="N35" s="107">
        <f t="shared" si="0"/>
        <v>1750</v>
      </c>
      <c r="O35" s="108"/>
      <c r="P35" s="109"/>
      <c r="Q35" s="109"/>
      <c r="R35" s="110"/>
      <c r="S35" s="110">
        <v>0</v>
      </c>
      <c r="T35" s="107">
        <f t="shared" si="1"/>
        <v>1750</v>
      </c>
      <c r="U35" s="111">
        <f t="shared" si="2"/>
        <v>0</v>
      </c>
      <c r="V35" s="107">
        <f t="shared" si="3"/>
        <v>1750</v>
      </c>
      <c r="W35" s="112">
        <f t="shared" si="4"/>
        <v>175</v>
      </c>
      <c r="X35" s="111">
        <f t="shared" si="5"/>
        <v>24.744799999999998</v>
      </c>
      <c r="Y35" s="107">
        <f t="shared" si="6"/>
        <v>1949.7447999999999</v>
      </c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</row>
    <row r="36" spans="1:44" x14ac:dyDescent="0.25">
      <c r="A36" s="103" t="s">
        <v>204</v>
      </c>
      <c r="B36" s="103" t="s">
        <v>133</v>
      </c>
      <c r="C36" s="104" t="s">
        <v>69</v>
      </c>
      <c r="D36" s="103" t="s">
        <v>253</v>
      </c>
      <c r="E36" s="103" t="s">
        <v>206</v>
      </c>
      <c r="F36" s="103"/>
      <c r="G36" s="105">
        <v>1237.2399999999998</v>
      </c>
      <c r="H36" s="103">
        <v>1512.7600000000002</v>
      </c>
      <c r="I36" s="105">
        <f t="shared" si="7"/>
        <v>2750</v>
      </c>
      <c r="J36" s="105"/>
      <c r="K36" s="105"/>
      <c r="L36" s="105"/>
      <c r="M36" s="106"/>
      <c r="N36" s="107">
        <f t="shared" si="0"/>
        <v>2750</v>
      </c>
      <c r="O36" s="108"/>
      <c r="P36" s="109"/>
      <c r="Q36" s="109"/>
      <c r="R36" s="110"/>
      <c r="S36" s="110">
        <v>0</v>
      </c>
      <c r="T36" s="107">
        <f t="shared" si="1"/>
        <v>2750</v>
      </c>
      <c r="U36" s="111">
        <f t="shared" si="2"/>
        <v>0</v>
      </c>
      <c r="V36" s="107">
        <f t="shared" si="3"/>
        <v>2750</v>
      </c>
      <c r="W36" s="112">
        <f t="shared" si="4"/>
        <v>275</v>
      </c>
      <c r="X36" s="111">
        <f t="shared" si="5"/>
        <v>24.744799999999998</v>
      </c>
      <c r="Y36" s="107">
        <f t="shared" si="6"/>
        <v>3049.7447999999999</v>
      </c>
      <c r="Z36" s="120" t="s">
        <v>225</v>
      </c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</row>
    <row r="37" spans="1:44" s="114" customFormat="1" x14ac:dyDescent="0.25">
      <c r="A37" s="103" t="s">
        <v>202</v>
      </c>
      <c r="B37" s="103" t="s">
        <v>254</v>
      </c>
      <c r="C37" s="104">
        <v>12</v>
      </c>
      <c r="D37" s="103" t="s">
        <v>247</v>
      </c>
      <c r="E37" s="103"/>
      <c r="F37" s="103"/>
      <c r="G37" s="105">
        <v>1237.2399999999998</v>
      </c>
      <c r="H37" s="103">
        <v>762.76000000000022</v>
      </c>
      <c r="I37" s="105">
        <f t="shared" si="7"/>
        <v>2000</v>
      </c>
      <c r="J37" s="105"/>
      <c r="L37" s="105"/>
      <c r="M37" s="106"/>
      <c r="N37" s="107">
        <f t="shared" si="0"/>
        <v>2000</v>
      </c>
      <c r="O37" s="108"/>
      <c r="P37" s="109"/>
      <c r="Q37" s="109"/>
      <c r="R37" s="110"/>
      <c r="S37" s="110">
        <v>0</v>
      </c>
      <c r="T37" s="107">
        <f t="shared" si="1"/>
        <v>2000</v>
      </c>
      <c r="U37" s="111">
        <f t="shared" si="2"/>
        <v>0</v>
      </c>
      <c r="V37" s="107">
        <f t="shared" si="3"/>
        <v>2000</v>
      </c>
      <c r="W37" s="112">
        <f t="shared" si="4"/>
        <v>200</v>
      </c>
      <c r="X37" s="111">
        <f t="shared" si="5"/>
        <v>24.744799999999998</v>
      </c>
      <c r="Y37" s="107">
        <f t="shared" si="6"/>
        <v>2224.7447999999999</v>
      </c>
      <c r="Z37" s="130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</row>
    <row r="38" spans="1:44" x14ac:dyDescent="0.25">
      <c r="A38" s="103" t="s">
        <v>255</v>
      </c>
      <c r="B38" s="103" t="s">
        <v>256</v>
      </c>
      <c r="C38" s="103">
        <v>23</v>
      </c>
      <c r="D38" s="103" t="s">
        <v>257</v>
      </c>
      <c r="E38" s="117"/>
      <c r="F38" s="117"/>
      <c r="G38" s="105">
        <v>1237.2399999999998</v>
      </c>
      <c r="H38" s="117">
        <v>2262.7600000000002</v>
      </c>
      <c r="I38" s="105">
        <f t="shared" si="7"/>
        <v>3500</v>
      </c>
      <c r="J38" s="105"/>
      <c r="K38" s="118"/>
      <c r="L38" s="118"/>
      <c r="M38" s="106"/>
      <c r="N38" s="107">
        <f t="shared" si="0"/>
        <v>3500</v>
      </c>
      <c r="O38" s="108"/>
      <c r="P38" s="109"/>
      <c r="Q38" s="109"/>
      <c r="R38" s="110"/>
      <c r="S38" s="110">
        <v>357.22</v>
      </c>
      <c r="T38" s="107">
        <f t="shared" si="1"/>
        <v>3142.7799999999997</v>
      </c>
      <c r="U38" s="111">
        <f t="shared" si="2"/>
        <v>0</v>
      </c>
      <c r="V38" s="107">
        <f t="shared" si="3"/>
        <v>3142.7799999999997</v>
      </c>
      <c r="W38" s="112">
        <f t="shared" si="4"/>
        <v>350</v>
      </c>
      <c r="X38" s="111">
        <f t="shared" si="5"/>
        <v>24.744799999999998</v>
      </c>
      <c r="Y38" s="107">
        <f t="shared" si="6"/>
        <v>3874.7447999999999</v>
      </c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</row>
    <row r="39" spans="1:44" x14ac:dyDescent="0.25">
      <c r="A39" s="131" t="s">
        <v>258</v>
      </c>
      <c r="B39" s="103" t="s">
        <v>259</v>
      </c>
      <c r="C39" s="117" t="s">
        <v>159</v>
      </c>
      <c r="D39" s="103" t="s">
        <v>211</v>
      </c>
      <c r="E39" s="103"/>
      <c r="F39" s="103"/>
      <c r="G39" s="105">
        <v>1237.2399999999998</v>
      </c>
      <c r="H39" s="117">
        <v>3762.76</v>
      </c>
      <c r="I39" s="105">
        <f t="shared" si="7"/>
        <v>5000</v>
      </c>
      <c r="J39" s="105"/>
      <c r="K39" s="105"/>
      <c r="L39" s="105"/>
      <c r="M39" s="106"/>
      <c r="N39" s="107">
        <f t="shared" si="0"/>
        <v>5000</v>
      </c>
      <c r="O39" s="108"/>
      <c r="P39" s="109"/>
      <c r="Q39" s="109"/>
      <c r="R39" s="110"/>
      <c r="S39" s="110">
        <v>0</v>
      </c>
      <c r="T39" s="107">
        <f t="shared" si="1"/>
        <v>5000</v>
      </c>
      <c r="U39" s="111">
        <f t="shared" si="2"/>
        <v>500</v>
      </c>
      <c r="V39" s="107">
        <f t="shared" si="3"/>
        <v>4500</v>
      </c>
      <c r="W39" s="112">
        <f t="shared" si="4"/>
        <v>0</v>
      </c>
      <c r="X39" s="111">
        <f t="shared" si="5"/>
        <v>24.744799999999998</v>
      </c>
      <c r="Y39" s="107">
        <f t="shared" si="6"/>
        <v>5024.7448000000004</v>
      </c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</row>
    <row r="40" spans="1:44" x14ac:dyDescent="0.25">
      <c r="A40" s="103" t="s">
        <v>202</v>
      </c>
      <c r="B40" s="103" t="s">
        <v>260</v>
      </c>
      <c r="C40" s="104" t="s">
        <v>75</v>
      </c>
      <c r="D40" s="103" t="s">
        <v>261</v>
      </c>
      <c r="E40" s="103"/>
      <c r="F40" s="103"/>
      <c r="G40" s="105">
        <v>1237.2399999999998</v>
      </c>
      <c r="H40" s="103">
        <v>512.76000000000022</v>
      </c>
      <c r="I40" s="105">
        <f t="shared" si="7"/>
        <v>1750</v>
      </c>
      <c r="J40" s="105">
        <v>2441.83</v>
      </c>
      <c r="K40" s="105"/>
      <c r="L40" s="105"/>
      <c r="M40" s="106"/>
      <c r="N40" s="107">
        <f t="shared" si="0"/>
        <v>4191.83</v>
      </c>
      <c r="O40" s="108"/>
      <c r="P40" s="109"/>
      <c r="Q40" s="109"/>
      <c r="R40" s="110"/>
      <c r="S40" s="110">
        <v>0</v>
      </c>
      <c r="T40" s="107">
        <f t="shared" si="1"/>
        <v>4191.83</v>
      </c>
      <c r="U40" s="111">
        <f t="shared" si="2"/>
        <v>0</v>
      </c>
      <c r="V40" s="107">
        <f t="shared" si="3"/>
        <v>4191.83</v>
      </c>
      <c r="W40" s="112">
        <f t="shared" si="4"/>
        <v>419.18299999999999</v>
      </c>
      <c r="X40" s="111">
        <f t="shared" si="5"/>
        <v>24.744799999999998</v>
      </c>
      <c r="Y40" s="107">
        <f t="shared" si="6"/>
        <v>4635.7578000000003</v>
      </c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</row>
    <row r="41" spans="1:44" s="114" customFormat="1" x14ac:dyDescent="0.25">
      <c r="A41" s="103" t="s">
        <v>202</v>
      </c>
      <c r="B41" s="103" t="s">
        <v>262</v>
      </c>
      <c r="C41" s="104" t="s">
        <v>77</v>
      </c>
      <c r="D41" s="103" t="s">
        <v>208</v>
      </c>
      <c r="E41" s="103"/>
      <c r="F41" s="103"/>
      <c r="G41" s="105">
        <v>1000</v>
      </c>
      <c r="H41" s="103"/>
      <c r="I41" s="105">
        <f t="shared" si="7"/>
        <v>1000</v>
      </c>
      <c r="J41" s="105"/>
      <c r="K41" s="105"/>
      <c r="L41" s="105"/>
      <c r="M41" s="106"/>
      <c r="N41" s="107">
        <f t="shared" si="0"/>
        <v>1000</v>
      </c>
      <c r="O41" s="108"/>
      <c r="P41" s="109"/>
      <c r="Q41" s="109"/>
      <c r="R41" s="110"/>
      <c r="S41" s="110">
        <v>0</v>
      </c>
      <c r="T41" s="107">
        <f t="shared" si="1"/>
        <v>1000</v>
      </c>
      <c r="U41" s="111">
        <f t="shared" si="2"/>
        <v>0</v>
      </c>
      <c r="V41" s="107">
        <f t="shared" si="3"/>
        <v>1000</v>
      </c>
      <c r="W41" s="112">
        <f t="shared" si="4"/>
        <v>100</v>
      </c>
      <c r="X41" s="111">
        <f t="shared" si="5"/>
        <v>20</v>
      </c>
      <c r="Y41" s="107">
        <f t="shared" si="6"/>
        <v>1120</v>
      </c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</row>
    <row r="42" spans="1:44" s="114" customFormat="1" x14ac:dyDescent="0.25">
      <c r="A42" s="103" t="s">
        <v>263</v>
      </c>
      <c r="B42" s="103" t="s">
        <v>264</v>
      </c>
      <c r="C42" s="104">
        <v>9</v>
      </c>
      <c r="D42" s="103" t="s">
        <v>263</v>
      </c>
      <c r="E42" s="103"/>
      <c r="F42" s="103"/>
      <c r="G42" s="105">
        <v>1237.2399999999998</v>
      </c>
      <c r="H42" s="103">
        <v>2262.7600000000002</v>
      </c>
      <c r="I42" s="105">
        <f t="shared" si="7"/>
        <v>3500</v>
      </c>
      <c r="J42" s="105"/>
      <c r="K42" s="105"/>
      <c r="L42" s="105"/>
      <c r="M42" s="106"/>
      <c r="N42" s="107">
        <f t="shared" si="0"/>
        <v>3500</v>
      </c>
      <c r="O42" s="108"/>
      <c r="P42" s="109"/>
      <c r="Q42" s="109"/>
      <c r="R42" s="110"/>
      <c r="S42" s="110">
        <v>878.82</v>
      </c>
      <c r="T42" s="107">
        <f t="shared" si="1"/>
        <v>2621.1799999999998</v>
      </c>
      <c r="U42" s="111">
        <f t="shared" si="2"/>
        <v>0</v>
      </c>
      <c r="V42" s="107">
        <f t="shared" si="3"/>
        <v>2621.1799999999998</v>
      </c>
      <c r="W42" s="112">
        <f t="shared" si="4"/>
        <v>350</v>
      </c>
      <c r="X42" s="111">
        <f t="shared" si="5"/>
        <v>24.744799999999998</v>
      </c>
      <c r="Y42" s="107">
        <f t="shared" si="6"/>
        <v>3874.7447999999999</v>
      </c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</row>
    <row r="43" spans="1:44" x14ac:dyDescent="0.25">
      <c r="A43" s="103" t="s">
        <v>213</v>
      </c>
      <c r="B43" s="103" t="s">
        <v>265</v>
      </c>
      <c r="C43" s="103" t="s">
        <v>81</v>
      </c>
      <c r="D43" s="103" t="s">
        <v>266</v>
      </c>
      <c r="E43" s="117"/>
      <c r="F43" s="117"/>
      <c r="G43" s="105">
        <v>1237.2399999999998</v>
      </c>
      <c r="H43" s="117">
        <v>2262.7600000000002</v>
      </c>
      <c r="I43" s="105">
        <f t="shared" si="7"/>
        <v>3500</v>
      </c>
      <c r="J43" s="105"/>
      <c r="K43" s="118"/>
      <c r="L43" s="118"/>
      <c r="M43" s="106"/>
      <c r="N43" s="107">
        <f t="shared" si="0"/>
        <v>3500</v>
      </c>
      <c r="O43" s="108"/>
      <c r="P43" s="109"/>
      <c r="Q43" s="109"/>
      <c r="R43" s="110"/>
      <c r="S43" s="110"/>
      <c r="T43" s="107">
        <f t="shared" si="1"/>
        <v>3500</v>
      </c>
      <c r="U43" s="111">
        <f t="shared" si="2"/>
        <v>0</v>
      </c>
      <c r="V43" s="107">
        <f t="shared" si="3"/>
        <v>3500</v>
      </c>
      <c r="W43" s="112">
        <f t="shared" si="4"/>
        <v>350</v>
      </c>
      <c r="X43" s="111">
        <f t="shared" si="5"/>
        <v>24.744799999999998</v>
      </c>
      <c r="Y43" s="107">
        <f t="shared" si="6"/>
        <v>3874.7447999999999</v>
      </c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</row>
    <row r="44" spans="1:44" x14ac:dyDescent="0.25">
      <c r="A44" s="103" t="s">
        <v>245</v>
      </c>
      <c r="B44" s="103" t="s">
        <v>138</v>
      </c>
      <c r="C44" s="104">
        <v>13</v>
      </c>
      <c r="D44" s="103" t="s">
        <v>267</v>
      </c>
      <c r="E44" s="117"/>
      <c r="F44" s="117"/>
      <c r="G44" s="105">
        <v>1237.2399999999998</v>
      </c>
      <c r="H44" s="117">
        <v>3762.76</v>
      </c>
      <c r="I44" s="105">
        <f t="shared" si="7"/>
        <v>5000</v>
      </c>
      <c r="J44" s="105"/>
      <c r="K44" s="118"/>
      <c r="L44" s="118"/>
      <c r="M44" s="106"/>
      <c r="N44" s="107">
        <f t="shared" si="0"/>
        <v>5000</v>
      </c>
      <c r="O44" s="108"/>
      <c r="P44" s="109"/>
      <c r="Q44" s="109"/>
      <c r="R44" s="110"/>
      <c r="S44" s="110">
        <v>0</v>
      </c>
      <c r="T44" s="107">
        <f t="shared" si="1"/>
        <v>5000</v>
      </c>
      <c r="U44" s="111">
        <f t="shared" si="2"/>
        <v>500</v>
      </c>
      <c r="V44" s="107">
        <f t="shared" si="3"/>
        <v>4500</v>
      </c>
      <c r="W44" s="112">
        <f t="shared" si="4"/>
        <v>0</v>
      </c>
      <c r="X44" s="111">
        <f t="shared" si="5"/>
        <v>24.744799999999998</v>
      </c>
      <c r="Y44" s="107">
        <f t="shared" si="6"/>
        <v>5024.7448000000004</v>
      </c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</row>
    <row r="45" spans="1:44" x14ac:dyDescent="0.25">
      <c r="A45" s="103" t="s">
        <v>258</v>
      </c>
      <c r="B45" s="103" t="s">
        <v>134</v>
      </c>
      <c r="C45" s="104" t="s">
        <v>85</v>
      </c>
      <c r="D45" s="103" t="s">
        <v>268</v>
      </c>
      <c r="E45" s="103" t="s">
        <v>206</v>
      </c>
      <c r="F45" s="103"/>
      <c r="G45" s="105">
        <v>1237.2399999999998</v>
      </c>
      <c r="H45" s="103">
        <v>4762.76</v>
      </c>
      <c r="I45" s="105">
        <f t="shared" si="7"/>
        <v>6000</v>
      </c>
      <c r="J45" s="105"/>
      <c r="K45" s="105"/>
      <c r="L45" s="105"/>
      <c r="M45" s="106"/>
      <c r="N45" s="107">
        <f t="shared" si="0"/>
        <v>6000</v>
      </c>
      <c r="O45" s="108"/>
      <c r="P45" s="109"/>
      <c r="Q45" s="109"/>
      <c r="R45" s="110"/>
      <c r="S45" s="110">
        <v>1014.46</v>
      </c>
      <c r="T45" s="107">
        <f t="shared" si="1"/>
        <v>4985.54</v>
      </c>
      <c r="U45" s="111">
        <f t="shared" si="2"/>
        <v>600</v>
      </c>
      <c r="V45" s="107">
        <f t="shared" si="3"/>
        <v>4385.54</v>
      </c>
      <c r="W45" s="112">
        <f t="shared" si="4"/>
        <v>0</v>
      </c>
      <c r="X45" s="111">
        <f t="shared" si="5"/>
        <v>24.744799999999998</v>
      </c>
      <c r="Y45" s="107">
        <f t="shared" si="6"/>
        <v>6024.7448000000004</v>
      </c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</row>
    <row r="46" spans="1:44" x14ac:dyDescent="0.25">
      <c r="A46" s="103" t="s">
        <v>213</v>
      </c>
      <c r="B46" s="103" t="s">
        <v>269</v>
      </c>
      <c r="C46" s="104"/>
      <c r="D46" s="103" t="s">
        <v>270</v>
      </c>
      <c r="E46" s="103"/>
      <c r="F46" s="103"/>
      <c r="G46" s="105">
        <v>1168.8</v>
      </c>
      <c r="H46" s="103">
        <v>16331.2</v>
      </c>
      <c r="I46" s="105">
        <v>17500</v>
      </c>
      <c r="J46" s="105"/>
      <c r="K46" s="105"/>
      <c r="L46" s="105"/>
      <c r="M46" s="106"/>
      <c r="N46" s="107">
        <f t="shared" si="0"/>
        <v>17500</v>
      </c>
      <c r="O46" s="108"/>
      <c r="P46" s="109"/>
      <c r="Q46" s="109"/>
      <c r="R46" s="110"/>
      <c r="S46" s="110">
        <v>0</v>
      </c>
      <c r="T46" s="107">
        <f t="shared" si="1"/>
        <v>17500</v>
      </c>
      <c r="U46" s="111">
        <f t="shared" si="2"/>
        <v>1750</v>
      </c>
      <c r="V46" s="107">
        <f t="shared" si="3"/>
        <v>15750</v>
      </c>
      <c r="W46" s="112">
        <f t="shared" si="4"/>
        <v>0</v>
      </c>
      <c r="X46" s="111">
        <f t="shared" si="5"/>
        <v>23.376000000000001</v>
      </c>
      <c r="Y46" s="107">
        <f t="shared" si="6"/>
        <v>17523.376</v>
      </c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</row>
    <row r="47" spans="1:44" x14ac:dyDescent="0.25">
      <c r="A47" s="103" t="s">
        <v>202</v>
      </c>
      <c r="B47" s="103" t="s">
        <v>271</v>
      </c>
      <c r="C47" s="104" t="s">
        <v>87</v>
      </c>
      <c r="D47" s="103" t="s">
        <v>272</v>
      </c>
      <c r="E47" s="117"/>
      <c r="F47" s="117"/>
      <c r="G47" s="105">
        <v>1237.2399999999998</v>
      </c>
      <c r="H47" s="117">
        <v>762.76000000000022</v>
      </c>
      <c r="I47" s="105">
        <f t="shared" ref="I47:I62" si="8">+G47+H47</f>
        <v>2000</v>
      </c>
      <c r="J47" s="105"/>
      <c r="K47" s="118"/>
      <c r="L47" s="118"/>
      <c r="M47" s="106"/>
      <c r="N47" s="107">
        <f t="shared" si="0"/>
        <v>2000</v>
      </c>
      <c r="O47" s="108"/>
      <c r="P47" s="109"/>
      <c r="Q47" s="109"/>
      <c r="R47" s="110"/>
      <c r="S47" s="110">
        <v>1280.0899999999999</v>
      </c>
      <c r="T47" s="107">
        <f t="shared" si="1"/>
        <v>719.91000000000008</v>
      </c>
      <c r="U47" s="111">
        <f t="shared" si="2"/>
        <v>0</v>
      </c>
      <c r="V47" s="107">
        <f t="shared" si="3"/>
        <v>719.91000000000008</v>
      </c>
      <c r="W47" s="112">
        <f t="shared" si="4"/>
        <v>200</v>
      </c>
      <c r="X47" s="111">
        <f t="shared" si="5"/>
        <v>24.744799999999998</v>
      </c>
      <c r="Y47" s="107">
        <f t="shared" si="6"/>
        <v>2224.7447999999999</v>
      </c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</row>
    <row r="48" spans="1:44" x14ac:dyDescent="0.25">
      <c r="A48" s="103" t="s">
        <v>255</v>
      </c>
      <c r="B48" s="103" t="s">
        <v>273</v>
      </c>
      <c r="C48" s="103" t="s">
        <v>89</v>
      </c>
      <c r="D48" s="103" t="s">
        <v>122</v>
      </c>
      <c r="E48" s="117"/>
      <c r="F48" s="117"/>
      <c r="G48" s="105">
        <v>1237.2399999999998</v>
      </c>
      <c r="H48" s="117">
        <v>-37.239999999999782</v>
      </c>
      <c r="I48" s="105">
        <f t="shared" si="8"/>
        <v>1200</v>
      </c>
      <c r="J48" s="105">
        <v>2135.11</v>
      </c>
      <c r="K48" s="118"/>
      <c r="L48" s="118"/>
      <c r="M48" s="106"/>
      <c r="N48" s="107">
        <f t="shared" si="0"/>
        <v>3335.11</v>
      </c>
      <c r="O48" s="108"/>
      <c r="P48" s="109"/>
      <c r="Q48" s="109"/>
      <c r="R48" s="110"/>
      <c r="S48" s="110">
        <v>0</v>
      </c>
      <c r="T48" s="107">
        <f t="shared" si="1"/>
        <v>3335.11</v>
      </c>
      <c r="U48" s="111">
        <f t="shared" si="2"/>
        <v>0</v>
      </c>
      <c r="V48" s="107">
        <f t="shared" si="3"/>
        <v>3335.11</v>
      </c>
      <c r="W48" s="112">
        <f t="shared" si="4"/>
        <v>333.51100000000002</v>
      </c>
      <c r="X48" s="111">
        <f t="shared" si="5"/>
        <v>24.744799999999998</v>
      </c>
      <c r="Y48" s="107">
        <f t="shared" si="6"/>
        <v>3693.3658</v>
      </c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</row>
    <row r="49" spans="1:44" x14ac:dyDescent="0.25">
      <c r="A49" s="103" t="s">
        <v>255</v>
      </c>
      <c r="B49" s="103" t="s">
        <v>142</v>
      </c>
      <c r="C49" s="103">
        <v>33</v>
      </c>
      <c r="D49" s="103" t="s">
        <v>274</v>
      </c>
      <c r="E49" s="103"/>
      <c r="F49" s="103"/>
      <c r="G49" s="105">
        <v>1237.2399999999998</v>
      </c>
      <c r="H49" s="103">
        <v>-37.239999999999782</v>
      </c>
      <c r="I49" s="105">
        <f t="shared" si="8"/>
        <v>1200</v>
      </c>
      <c r="J49" s="105">
        <v>4652.97</v>
      </c>
      <c r="K49" s="105"/>
      <c r="L49" s="105"/>
      <c r="M49" s="106"/>
      <c r="N49" s="107">
        <f t="shared" si="0"/>
        <v>5852.97</v>
      </c>
      <c r="O49" s="108"/>
      <c r="P49" s="109"/>
      <c r="Q49" s="109"/>
      <c r="R49" s="110"/>
      <c r="S49" s="110">
        <v>0</v>
      </c>
      <c r="T49" s="107">
        <f t="shared" si="1"/>
        <v>5852.97</v>
      </c>
      <c r="U49" s="111">
        <f t="shared" si="2"/>
        <v>585.29700000000003</v>
      </c>
      <c r="V49" s="107">
        <f t="shared" si="3"/>
        <v>5267.6730000000007</v>
      </c>
      <c r="W49" s="112">
        <f t="shared" si="4"/>
        <v>0</v>
      </c>
      <c r="X49" s="111">
        <f t="shared" si="5"/>
        <v>24.744799999999998</v>
      </c>
      <c r="Y49" s="107">
        <f t="shared" si="6"/>
        <v>5877.7148000000007</v>
      </c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</row>
    <row r="50" spans="1:44" x14ac:dyDescent="0.25">
      <c r="A50" s="103" t="s">
        <v>275</v>
      </c>
      <c r="B50" s="103" t="s">
        <v>137</v>
      </c>
      <c r="C50" s="104" t="s">
        <v>93</v>
      </c>
      <c r="D50" s="103" t="s">
        <v>276</v>
      </c>
      <c r="E50" s="103"/>
      <c r="F50" s="103"/>
      <c r="G50" s="105">
        <v>1237.2399999999998</v>
      </c>
      <c r="H50" s="103">
        <v>762.76000000000022</v>
      </c>
      <c r="I50" s="105">
        <f t="shared" si="8"/>
        <v>2000</v>
      </c>
      <c r="J50" s="105"/>
      <c r="K50" s="105"/>
      <c r="L50" s="105"/>
      <c r="M50" s="106"/>
      <c r="N50" s="107">
        <f t="shared" si="0"/>
        <v>2000</v>
      </c>
      <c r="O50" s="108"/>
      <c r="P50" s="109"/>
      <c r="Q50" s="109"/>
      <c r="R50" s="110">
        <v>217.28</v>
      </c>
      <c r="S50" s="110">
        <v>0</v>
      </c>
      <c r="T50" s="107">
        <f t="shared" si="1"/>
        <v>1782.72</v>
      </c>
      <c r="U50" s="111">
        <f t="shared" si="2"/>
        <v>0</v>
      </c>
      <c r="V50" s="107">
        <f t="shared" si="3"/>
        <v>1782.72</v>
      </c>
      <c r="W50" s="112">
        <f t="shared" si="4"/>
        <v>200</v>
      </c>
      <c r="X50" s="111">
        <f t="shared" si="5"/>
        <v>24.744799999999998</v>
      </c>
      <c r="Y50" s="107">
        <f t="shared" si="6"/>
        <v>2224.7447999999999</v>
      </c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</row>
    <row r="51" spans="1:44" s="114" customFormat="1" x14ac:dyDescent="0.25">
      <c r="A51" s="103" t="s">
        <v>204</v>
      </c>
      <c r="B51" s="103" t="s">
        <v>277</v>
      </c>
      <c r="C51" s="104" t="s">
        <v>95</v>
      </c>
      <c r="D51" s="103" t="s">
        <v>278</v>
      </c>
      <c r="E51" s="103"/>
      <c r="F51" s="103"/>
      <c r="G51" s="105">
        <v>1237.2399999999998</v>
      </c>
      <c r="H51" s="103">
        <v>762.76000000000022</v>
      </c>
      <c r="I51" s="105">
        <f t="shared" si="8"/>
        <v>2000</v>
      </c>
      <c r="J51" s="105"/>
      <c r="K51" s="105"/>
      <c r="L51" s="105"/>
      <c r="M51" s="106"/>
      <c r="N51" s="107">
        <f t="shared" si="0"/>
        <v>2000</v>
      </c>
      <c r="O51" s="108"/>
      <c r="P51" s="109"/>
      <c r="Q51" s="109"/>
      <c r="R51" s="110"/>
      <c r="S51" s="110">
        <v>0</v>
      </c>
      <c r="T51" s="107">
        <f t="shared" si="1"/>
        <v>2000</v>
      </c>
      <c r="U51" s="111">
        <f t="shared" si="2"/>
        <v>0</v>
      </c>
      <c r="V51" s="107">
        <f t="shared" si="3"/>
        <v>2000</v>
      </c>
      <c r="W51" s="112">
        <f t="shared" si="4"/>
        <v>200</v>
      </c>
      <c r="X51" s="111">
        <f t="shared" si="5"/>
        <v>24.744799999999998</v>
      </c>
      <c r="Y51" s="107">
        <f t="shared" si="6"/>
        <v>2224.7447999999999</v>
      </c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</row>
    <row r="52" spans="1:44" x14ac:dyDescent="0.25">
      <c r="A52" s="103" t="s">
        <v>202</v>
      </c>
      <c r="B52" s="103" t="s">
        <v>140</v>
      </c>
      <c r="C52" s="104" t="s">
        <v>97</v>
      </c>
      <c r="D52" s="103" t="s">
        <v>123</v>
      </c>
      <c r="E52" s="117"/>
      <c r="F52" s="117"/>
      <c r="G52" s="105">
        <v>1237.2399999999998</v>
      </c>
      <c r="H52" s="117">
        <v>-37.239999999999782</v>
      </c>
      <c r="I52" s="105">
        <f t="shared" si="8"/>
        <v>1200</v>
      </c>
      <c r="J52" s="105">
        <v>2120</v>
      </c>
      <c r="K52" s="118"/>
      <c r="L52" s="118"/>
      <c r="M52" s="106"/>
      <c r="N52" s="107">
        <f t="shared" si="0"/>
        <v>3320</v>
      </c>
      <c r="O52" s="108"/>
      <c r="P52" s="109"/>
      <c r="Q52" s="109"/>
      <c r="R52" s="110"/>
      <c r="S52" s="110">
        <v>0</v>
      </c>
      <c r="T52" s="107">
        <f t="shared" si="1"/>
        <v>3320</v>
      </c>
      <c r="U52" s="111">
        <f t="shared" si="2"/>
        <v>0</v>
      </c>
      <c r="V52" s="107">
        <f t="shared" si="3"/>
        <v>3320</v>
      </c>
      <c r="W52" s="112">
        <f t="shared" si="4"/>
        <v>332</v>
      </c>
      <c r="X52" s="111">
        <f t="shared" si="5"/>
        <v>24.744799999999998</v>
      </c>
      <c r="Y52" s="107">
        <f t="shared" si="6"/>
        <v>3676.7447999999999</v>
      </c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</row>
    <row r="53" spans="1:44" x14ac:dyDescent="0.25">
      <c r="A53" s="103" t="s">
        <v>202</v>
      </c>
      <c r="B53" s="103" t="s">
        <v>279</v>
      </c>
      <c r="C53" s="104" t="s">
        <v>99</v>
      </c>
      <c r="D53" s="103" t="s">
        <v>280</v>
      </c>
      <c r="E53" s="117"/>
      <c r="F53" s="117"/>
      <c r="G53" s="105">
        <v>1237.2399999999998</v>
      </c>
      <c r="H53" s="117">
        <v>-37.239999999999782</v>
      </c>
      <c r="I53" s="105">
        <f t="shared" si="8"/>
        <v>1200</v>
      </c>
      <c r="J53" s="105">
        <v>5349.7</v>
      </c>
      <c r="K53" s="118"/>
      <c r="L53" s="118"/>
      <c r="M53" s="106"/>
      <c r="N53" s="107">
        <f t="shared" si="0"/>
        <v>6549.7</v>
      </c>
      <c r="O53" s="108"/>
      <c r="P53" s="109"/>
      <c r="Q53" s="109"/>
      <c r="R53" s="110"/>
      <c r="S53" s="110">
        <v>340.56</v>
      </c>
      <c r="T53" s="107">
        <f t="shared" si="1"/>
        <v>6209.1399999999994</v>
      </c>
      <c r="U53" s="111">
        <f t="shared" si="2"/>
        <v>654.97</v>
      </c>
      <c r="V53" s="107">
        <f t="shared" si="3"/>
        <v>5554.1699999999992</v>
      </c>
      <c r="W53" s="112">
        <f t="shared" si="4"/>
        <v>0</v>
      </c>
      <c r="X53" s="111">
        <f t="shared" si="5"/>
        <v>24.744799999999998</v>
      </c>
      <c r="Y53" s="107">
        <f t="shared" si="6"/>
        <v>6574.4448000000002</v>
      </c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</row>
    <row r="54" spans="1:44" x14ac:dyDescent="0.25">
      <c r="A54" s="103" t="s">
        <v>204</v>
      </c>
      <c r="B54" s="103" t="s">
        <v>281</v>
      </c>
      <c r="C54" s="104" t="s">
        <v>101</v>
      </c>
      <c r="D54" s="103" t="s">
        <v>282</v>
      </c>
      <c r="E54" s="117"/>
      <c r="F54" s="117"/>
      <c r="G54" s="105">
        <v>1237.2399999999998</v>
      </c>
      <c r="H54" s="117">
        <v>762.76000000000022</v>
      </c>
      <c r="I54" s="105">
        <f t="shared" si="8"/>
        <v>2000</v>
      </c>
      <c r="J54" s="105"/>
      <c r="K54" s="118"/>
      <c r="L54" s="118"/>
      <c r="M54" s="106"/>
      <c r="N54" s="107">
        <f t="shared" si="0"/>
        <v>2000</v>
      </c>
      <c r="O54" s="108"/>
      <c r="P54" s="109"/>
      <c r="Q54" s="109"/>
      <c r="R54" s="110"/>
      <c r="S54" s="110">
        <v>0</v>
      </c>
      <c r="T54" s="107">
        <f t="shared" si="1"/>
        <v>2000</v>
      </c>
      <c r="U54" s="111">
        <f t="shared" si="2"/>
        <v>0</v>
      </c>
      <c r="V54" s="107">
        <f t="shared" si="3"/>
        <v>2000</v>
      </c>
      <c r="W54" s="112">
        <f t="shared" si="4"/>
        <v>200</v>
      </c>
      <c r="X54" s="111">
        <f t="shared" si="5"/>
        <v>24.744799999999998</v>
      </c>
      <c r="Y54" s="107">
        <f t="shared" si="6"/>
        <v>2224.7447999999999</v>
      </c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</row>
    <row r="55" spans="1:44" x14ac:dyDescent="0.25">
      <c r="A55" s="103" t="s">
        <v>275</v>
      </c>
      <c r="B55" s="103" t="s">
        <v>136</v>
      </c>
      <c r="C55" s="104">
        <v>8</v>
      </c>
      <c r="D55" s="103" t="s">
        <v>283</v>
      </c>
      <c r="E55" s="103"/>
      <c r="F55" s="103"/>
      <c r="G55" s="105">
        <v>1237.2399999999998</v>
      </c>
      <c r="H55" s="103">
        <v>2262.7600000000002</v>
      </c>
      <c r="I55" s="105">
        <f t="shared" si="8"/>
        <v>3500</v>
      </c>
      <c r="J55" s="105"/>
      <c r="K55" s="105"/>
      <c r="L55" s="105"/>
      <c r="M55" s="106"/>
      <c r="N55" s="107">
        <f t="shared" si="0"/>
        <v>3500</v>
      </c>
      <c r="O55" s="108"/>
      <c r="P55" s="109"/>
      <c r="Q55" s="109"/>
      <c r="R55" s="110"/>
      <c r="S55" s="110">
        <v>0</v>
      </c>
      <c r="T55" s="107">
        <f t="shared" si="1"/>
        <v>3500</v>
      </c>
      <c r="U55" s="111">
        <f t="shared" si="2"/>
        <v>0</v>
      </c>
      <c r="V55" s="107">
        <f t="shared" si="3"/>
        <v>3500</v>
      </c>
      <c r="W55" s="112">
        <f t="shared" si="4"/>
        <v>350</v>
      </c>
      <c r="X55" s="111">
        <f t="shared" si="5"/>
        <v>24.744799999999998</v>
      </c>
      <c r="Y55" s="107">
        <f t="shared" si="6"/>
        <v>3874.7447999999999</v>
      </c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</row>
    <row r="56" spans="1:44" x14ac:dyDescent="0.25">
      <c r="A56" s="103" t="s">
        <v>258</v>
      </c>
      <c r="B56" s="103" t="s">
        <v>135</v>
      </c>
      <c r="C56" s="104" t="s">
        <v>105</v>
      </c>
      <c r="D56" s="103" t="s">
        <v>284</v>
      </c>
      <c r="E56" s="103" t="s">
        <v>206</v>
      </c>
      <c r="F56" s="103"/>
      <c r="G56" s="105">
        <v>1237.2399999999998</v>
      </c>
      <c r="H56" s="103">
        <v>11262.76</v>
      </c>
      <c r="I56" s="105">
        <f t="shared" si="8"/>
        <v>12500</v>
      </c>
      <c r="J56" s="105"/>
      <c r="K56" s="105"/>
      <c r="L56" s="105"/>
      <c r="M56" s="106"/>
      <c r="N56" s="107">
        <f t="shared" si="0"/>
        <v>12500</v>
      </c>
      <c r="O56" s="108"/>
      <c r="P56" s="109"/>
      <c r="Q56" s="109"/>
      <c r="R56" s="110"/>
      <c r="S56" s="110">
        <v>0</v>
      </c>
      <c r="T56" s="107">
        <f t="shared" si="1"/>
        <v>12500</v>
      </c>
      <c r="U56" s="111">
        <f t="shared" si="2"/>
        <v>1250</v>
      </c>
      <c r="V56" s="107">
        <f t="shared" si="3"/>
        <v>11250</v>
      </c>
      <c r="W56" s="112">
        <f t="shared" si="4"/>
        <v>0</v>
      </c>
      <c r="X56" s="111">
        <f t="shared" si="5"/>
        <v>24.744799999999998</v>
      </c>
      <c r="Y56" s="107">
        <f t="shared" si="6"/>
        <v>12524.7448</v>
      </c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</row>
    <row r="57" spans="1:44" x14ac:dyDescent="0.25">
      <c r="A57" s="103" t="s">
        <v>245</v>
      </c>
      <c r="B57" s="103" t="s">
        <v>285</v>
      </c>
      <c r="C57" s="104">
        <v>18</v>
      </c>
      <c r="D57" s="103" t="s">
        <v>229</v>
      </c>
      <c r="E57" s="103"/>
      <c r="F57" s="103"/>
      <c r="G57" s="105">
        <v>1237.2399999999998</v>
      </c>
      <c r="H57" s="103">
        <v>2262.7600000000002</v>
      </c>
      <c r="I57" s="105">
        <f t="shared" si="8"/>
        <v>3500</v>
      </c>
      <c r="J57" s="105"/>
      <c r="K57" s="105"/>
      <c r="L57" s="105"/>
      <c r="M57" s="106"/>
      <c r="N57" s="107">
        <f t="shared" si="0"/>
        <v>3500</v>
      </c>
      <c r="O57" s="108"/>
      <c r="P57" s="109"/>
      <c r="Q57" s="109"/>
      <c r="R57" s="110"/>
      <c r="S57" s="110">
        <v>741.3</v>
      </c>
      <c r="T57" s="107">
        <f t="shared" si="1"/>
        <v>2758.7</v>
      </c>
      <c r="U57" s="111">
        <f t="shared" si="2"/>
        <v>0</v>
      </c>
      <c r="V57" s="107">
        <f t="shared" si="3"/>
        <v>2758.7</v>
      </c>
      <c r="W57" s="112">
        <f t="shared" si="4"/>
        <v>350</v>
      </c>
      <c r="X57" s="111">
        <f t="shared" si="5"/>
        <v>24.744799999999998</v>
      </c>
      <c r="Y57" s="107">
        <f t="shared" si="6"/>
        <v>3874.7447999999999</v>
      </c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</row>
    <row r="58" spans="1:44" x14ac:dyDescent="0.25">
      <c r="A58" s="103" t="s">
        <v>255</v>
      </c>
      <c r="B58" s="103" t="s">
        <v>143</v>
      </c>
      <c r="C58" s="103" t="s">
        <v>109</v>
      </c>
      <c r="D58" s="103" t="s">
        <v>286</v>
      </c>
      <c r="E58" s="103"/>
      <c r="F58" s="103"/>
      <c r="G58" s="105">
        <v>1237.2399999999998</v>
      </c>
      <c r="H58" s="103">
        <v>1512.7600000000002</v>
      </c>
      <c r="I58" s="105">
        <f t="shared" si="8"/>
        <v>2750</v>
      </c>
      <c r="J58" s="105"/>
      <c r="K58" s="105"/>
      <c r="L58" s="105"/>
      <c r="M58" s="106"/>
      <c r="N58" s="107">
        <f t="shared" si="0"/>
        <v>2750</v>
      </c>
      <c r="O58" s="108"/>
      <c r="P58" s="109"/>
      <c r="Q58" s="109"/>
      <c r="R58" s="110"/>
      <c r="S58" s="110">
        <v>0</v>
      </c>
      <c r="T58" s="107">
        <f t="shared" si="1"/>
        <v>2750</v>
      </c>
      <c r="U58" s="111">
        <f t="shared" si="2"/>
        <v>0</v>
      </c>
      <c r="V58" s="107">
        <f t="shared" si="3"/>
        <v>2750</v>
      </c>
      <c r="W58" s="112">
        <f t="shared" si="4"/>
        <v>275</v>
      </c>
      <c r="X58" s="111">
        <f t="shared" si="5"/>
        <v>24.744799999999998</v>
      </c>
      <c r="Y58" s="107">
        <f t="shared" si="6"/>
        <v>3049.7447999999999</v>
      </c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</row>
    <row r="59" spans="1:44" x14ac:dyDescent="0.25">
      <c r="A59" s="103" t="s">
        <v>202</v>
      </c>
      <c r="B59" s="103" t="s">
        <v>287</v>
      </c>
      <c r="C59" s="104" t="s">
        <v>111</v>
      </c>
      <c r="D59" s="103" t="s">
        <v>229</v>
      </c>
      <c r="E59" s="117"/>
      <c r="F59" s="117"/>
      <c r="G59" s="105">
        <v>1237.2399999999998</v>
      </c>
      <c r="H59" s="117">
        <v>-37.239999999999782</v>
      </c>
      <c r="I59" s="105">
        <f t="shared" si="8"/>
        <v>1200</v>
      </c>
      <c r="J59" s="105">
        <v>3845.45</v>
      </c>
      <c r="K59" s="118"/>
      <c r="L59" s="118"/>
      <c r="M59" s="106"/>
      <c r="N59" s="107">
        <f t="shared" si="0"/>
        <v>5045.45</v>
      </c>
      <c r="O59" s="108"/>
      <c r="P59" s="109"/>
      <c r="Q59" s="109"/>
      <c r="R59" s="110"/>
      <c r="S59" s="110">
        <v>0</v>
      </c>
      <c r="T59" s="107">
        <f t="shared" si="1"/>
        <v>5045.45</v>
      </c>
      <c r="U59" s="111">
        <f t="shared" si="2"/>
        <v>504.54500000000002</v>
      </c>
      <c r="V59" s="107">
        <f t="shared" si="3"/>
        <v>4540.9049999999997</v>
      </c>
      <c r="W59" s="112">
        <f t="shared" si="4"/>
        <v>0</v>
      </c>
      <c r="X59" s="111">
        <f t="shared" si="5"/>
        <v>24.744799999999998</v>
      </c>
      <c r="Y59" s="107">
        <f t="shared" si="6"/>
        <v>5070.1948000000002</v>
      </c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</row>
    <row r="60" spans="1:44" x14ac:dyDescent="0.25">
      <c r="A60" s="103" t="s">
        <v>202</v>
      </c>
      <c r="B60" s="103" t="s">
        <v>141</v>
      </c>
      <c r="C60" s="104" t="s">
        <v>113</v>
      </c>
      <c r="D60" s="103" t="s">
        <v>288</v>
      </c>
      <c r="E60" s="103"/>
      <c r="F60" s="103"/>
      <c r="G60" s="105">
        <v>1237.2399999999998</v>
      </c>
      <c r="H60" s="103">
        <v>-37.239999999999782</v>
      </c>
      <c r="I60" s="105">
        <f t="shared" si="8"/>
        <v>1200</v>
      </c>
      <c r="J60" s="105"/>
      <c r="K60" s="105"/>
      <c r="L60" s="105"/>
      <c r="M60" s="106"/>
      <c r="N60" s="107">
        <f t="shared" si="0"/>
        <v>1200</v>
      </c>
      <c r="O60" s="108"/>
      <c r="P60" s="109"/>
      <c r="Q60" s="109"/>
      <c r="R60" s="110"/>
      <c r="S60" s="110">
        <v>0</v>
      </c>
      <c r="T60" s="107">
        <f t="shared" si="1"/>
        <v>1200</v>
      </c>
      <c r="U60" s="111">
        <f t="shared" si="2"/>
        <v>0</v>
      </c>
      <c r="V60" s="107">
        <f t="shared" si="3"/>
        <v>1200</v>
      </c>
      <c r="W60" s="112">
        <f t="shared" si="4"/>
        <v>120</v>
      </c>
      <c r="X60" s="111">
        <f t="shared" si="5"/>
        <v>24.744799999999998</v>
      </c>
      <c r="Y60" s="107">
        <f t="shared" si="6"/>
        <v>1344.7447999999999</v>
      </c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</row>
    <row r="61" spans="1:44" s="114" customFormat="1" x14ac:dyDescent="0.25">
      <c r="A61" s="103" t="s">
        <v>255</v>
      </c>
      <c r="B61" s="103" t="s">
        <v>289</v>
      </c>
      <c r="C61" s="103" t="s">
        <v>115</v>
      </c>
      <c r="D61" s="103" t="s">
        <v>249</v>
      </c>
      <c r="E61" s="103"/>
      <c r="F61" s="103"/>
      <c r="G61" s="105">
        <v>1237.2399999999998</v>
      </c>
      <c r="H61" s="103">
        <v>1012.76</v>
      </c>
      <c r="I61" s="105">
        <f t="shared" si="8"/>
        <v>2250</v>
      </c>
      <c r="J61" s="105"/>
      <c r="K61" s="105"/>
      <c r="L61" s="105"/>
      <c r="M61" s="106"/>
      <c r="N61" s="107">
        <f t="shared" si="0"/>
        <v>2250</v>
      </c>
      <c r="O61" s="108"/>
      <c r="P61" s="109"/>
      <c r="Q61" s="109"/>
      <c r="R61" s="110"/>
      <c r="S61" s="110">
        <v>335.19</v>
      </c>
      <c r="T61" s="107">
        <f t="shared" si="1"/>
        <v>1914.81</v>
      </c>
      <c r="U61" s="111">
        <f t="shared" si="2"/>
        <v>0</v>
      </c>
      <c r="V61" s="107">
        <f t="shared" si="3"/>
        <v>1914.81</v>
      </c>
      <c r="W61" s="112">
        <f t="shared" si="4"/>
        <v>225</v>
      </c>
      <c r="X61" s="111">
        <f t="shared" si="5"/>
        <v>24.744799999999998</v>
      </c>
      <c r="Y61" s="107">
        <f t="shared" si="6"/>
        <v>2499.7447999999999</v>
      </c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</row>
    <row r="62" spans="1:44" x14ac:dyDescent="0.25">
      <c r="A62" s="103" t="s">
        <v>204</v>
      </c>
      <c r="B62" s="103" t="s">
        <v>290</v>
      </c>
      <c r="C62" s="104" t="s">
        <v>117</v>
      </c>
      <c r="D62" s="103" t="s">
        <v>123</v>
      </c>
      <c r="E62" s="117"/>
      <c r="F62" s="117"/>
      <c r="G62" s="105">
        <v>1237.2399999999998</v>
      </c>
      <c r="H62" s="117">
        <v>-37.239999999999782</v>
      </c>
      <c r="I62" s="105">
        <f t="shared" si="8"/>
        <v>1200</v>
      </c>
      <c r="J62" s="105">
        <v>1025.7</v>
      </c>
      <c r="K62" s="118"/>
      <c r="L62" s="118"/>
      <c r="M62" s="106"/>
      <c r="N62" s="107">
        <f t="shared" si="0"/>
        <v>2225.6999999999998</v>
      </c>
      <c r="O62" s="108"/>
      <c r="P62" s="109"/>
      <c r="Q62" s="109"/>
      <c r="R62" s="110"/>
      <c r="S62" s="110">
        <v>303.79000000000002</v>
      </c>
      <c r="T62" s="107">
        <f t="shared" si="1"/>
        <v>1921.9099999999999</v>
      </c>
      <c r="U62" s="111">
        <f t="shared" si="2"/>
        <v>0</v>
      </c>
      <c r="V62" s="107">
        <f t="shared" si="3"/>
        <v>1921.9099999999999</v>
      </c>
      <c r="W62" s="112">
        <f t="shared" si="4"/>
        <v>222.57</v>
      </c>
      <c r="X62" s="111">
        <f t="shared" si="5"/>
        <v>24.744799999999998</v>
      </c>
      <c r="Y62" s="107">
        <f t="shared" si="6"/>
        <v>2473.0147999999999</v>
      </c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</row>
    <row r="63" spans="1:44" x14ac:dyDescent="0.25">
      <c r="A63" s="131"/>
      <c r="B63" s="103"/>
      <c r="C63" s="117"/>
      <c r="D63" s="103"/>
      <c r="E63" s="103"/>
      <c r="F63" s="103"/>
      <c r="G63" s="103"/>
      <c r="H63" s="103"/>
      <c r="I63" s="105"/>
      <c r="J63" s="105"/>
      <c r="K63" s="105"/>
      <c r="L63" s="105"/>
      <c r="M63" s="106"/>
      <c r="N63" s="107">
        <f t="shared" si="0"/>
        <v>0</v>
      </c>
      <c r="O63" s="108"/>
      <c r="P63" s="109"/>
      <c r="Q63" s="109"/>
      <c r="R63" s="111"/>
      <c r="S63" s="111"/>
      <c r="T63" s="107">
        <f t="shared" si="1"/>
        <v>0</v>
      </c>
      <c r="U63" s="111">
        <f t="shared" si="2"/>
        <v>0</v>
      </c>
      <c r="V63" s="107">
        <f t="shared" si="3"/>
        <v>0</v>
      </c>
      <c r="W63" s="112">
        <f t="shared" si="4"/>
        <v>0</v>
      </c>
      <c r="X63" s="111"/>
      <c r="Y63" s="107">
        <f t="shared" si="6"/>
        <v>0</v>
      </c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</row>
    <row r="64" spans="1:44" s="113" customFormat="1" x14ac:dyDescent="0.25">
      <c r="A64" s="131"/>
      <c r="B64" s="132"/>
      <c r="C64" s="132"/>
      <c r="D64" s="132"/>
      <c r="E64" s="132"/>
      <c r="F64" s="132"/>
      <c r="G64" s="132"/>
      <c r="H64" s="132"/>
      <c r="I64" s="133"/>
      <c r="J64" s="133"/>
      <c r="K64" s="133"/>
      <c r="L64" s="133"/>
      <c r="M64" s="133"/>
      <c r="N64" s="134"/>
      <c r="O64" s="133"/>
      <c r="P64" s="111"/>
      <c r="Q64" s="111"/>
      <c r="R64" s="111"/>
      <c r="S64" s="111"/>
      <c r="T64" s="135"/>
      <c r="U64" s="111"/>
      <c r="V64" s="134"/>
      <c r="W64" s="111"/>
      <c r="X64" s="111"/>
      <c r="Y64" s="134"/>
    </row>
    <row r="65" spans="1:25" ht="16.5" thickBot="1" x14ac:dyDescent="0.3">
      <c r="B65" s="136" t="s">
        <v>291</v>
      </c>
      <c r="C65" s="136"/>
      <c r="D65" s="136"/>
      <c r="E65" s="136"/>
      <c r="F65" s="136"/>
      <c r="G65" s="136"/>
      <c r="H65" s="136"/>
      <c r="I65" s="137">
        <f>SUM(I7:I62)</f>
        <v>179150</v>
      </c>
      <c r="J65" s="137">
        <f>SUM(J7:J62)</f>
        <v>32089.24</v>
      </c>
      <c r="K65" s="137">
        <f t="shared" ref="K65:Y65" si="9">SUM(K7:K61)</f>
        <v>0</v>
      </c>
      <c r="L65" s="137">
        <f t="shared" si="9"/>
        <v>0</v>
      </c>
      <c r="M65" s="137">
        <f t="shared" si="9"/>
        <v>0</v>
      </c>
      <c r="N65" s="137">
        <f t="shared" si="9"/>
        <v>209013.54</v>
      </c>
      <c r="O65" s="137">
        <f t="shared" si="9"/>
        <v>0</v>
      </c>
      <c r="P65" s="137">
        <f t="shared" si="9"/>
        <v>0</v>
      </c>
      <c r="Q65" s="137">
        <f t="shared" si="9"/>
        <v>0</v>
      </c>
      <c r="R65" s="137">
        <f t="shared" si="9"/>
        <v>874.46999999999991</v>
      </c>
      <c r="S65" s="137">
        <f t="shared" si="9"/>
        <v>10436.759999999998</v>
      </c>
      <c r="T65" s="137">
        <f t="shared" si="9"/>
        <v>197702.31</v>
      </c>
      <c r="U65" s="137">
        <f t="shared" si="9"/>
        <v>10522.562</v>
      </c>
      <c r="V65" s="137">
        <f t="shared" si="9"/>
        <v>187179.74800000002</v>
      </c>
      <c r="W65" s="137">
        <f t="shared" si="9"/>
        <v>10378.792000000001</v>
      </c>
      <c r="X65" s="137">
        <f t="shared" si="9"/>
        <v>1329.3607999999983</v>
      </c>
      <c r="Y65" s="137">
        <f t="shared" si="9"/>
        <v>220721.69279999984</v>
      </c>
    </row>
    <row r="66" spans="1:25" ht="16.5" thickTop="1" x14ac:dyDescent="0.25"/>
    <row r="67" spans="1:25" x14ac:dyDescent="0.25">
      <c r="A67" s="179" t="s">
        <v>292</v>
      </c>
      <c r="B67" s="179"/>
      <c r="U67" s="98">
        <f>+U65-U66</f>
        <v>10522.562</v>
      </c>
    </row>
    <row r="68" spans="1:25" x14ac:dyDescent="0.25">
      <c r="A68" s="131"/>
      <c r="B68" s="103"/>
      <c r="C68" s="117"/>
      <c r="D68" s="103"/>
      <c r="E68" s="103"/>
      <c r="F68" s="103"/>
      <c r="G68" s="103"/>
      <c r="H68" s="103"/>
      <c r="I68" s="105"/>
      <c r="J68" s="105"/>
      <c r="K68" s="105"/>
      <c r="L68" s="105"/>
      <c r="M68" s="105"/>
      <c r="N68" s="107">
        <f>SUM(I68:M68)</f>
        <v>0</v>
      </c>
      <c r="O68" s="108"/>
      <c r="P68" s="109"/>
      <c r="Q68" s="109"/>
      <c r="R68" s="109"/>
      <c r="S68" s="109"/>
      <c r="T68" s="107">
        <f>+N68-O68</f>
        <v>0</v>
      </c>
      <c r="U68" s="111">
        <f>+T68*0.05</f>
        <v>0</v>
      </c>
      <c r="V68" s="107">
        <f>+T68-P68-S68</f>
        <v>0</v>
      </c>
      <c r="W68" s="112">
        <f>IF(T68&lt;3000,T68*0.1,0)</f>
        <v>0</v>
      </c>
      <c r="X68" s="111">
        <v>0</v>
      </c>
      <c r="Y68" s="107">
        <f>+T68+W68+X68</f>
        <v>0</v>
      </c>
    </row>
    <row r="69" spans="1:25" x14ac:dyDescent="0.25">
      <c r="A69" s="131"/>
      <c r="B69" s="117"/>
      <c r="C69" s="117"/>
      <c r="D69" s="117"/>
      <c r="E69" s="117"/>
      <c r="F69" s="117"/>
      <c r="G69" s="117"/>
      <c r="H69" s="117"/>
      <c r="I69" s="118"/>
      <c r="J69" s="118"/>
      <c r="K69" s="118"/>
      <c r="L69" s="118"/>
      <c r="M69" s="118"/>
      <c r="N69" s="107">
        <f>SUM(I69:M69)</f>
        <v>0</v>
      </c>
      <c r="O69" s="108"/>
      <c r="P69" s="109"/>
      <c r="Q69" s="109"/>
      <c r="R69" s="109"/>
      <c r="S69" s="109"/>
      <c r="T69" s="107">
        <f>+N69-O69</f>
        <v>0</v>
      </c>
      <c r="U69" s="111">
        <f>+T69*0.05</f>
        <v>0</v>
      </c>
      <c r="V69" s="107">
        <f>+T69-P69-S69</f>
        <v>0</v>
      </c>
      <c r="W69" s="112">
        <f>IF(T69&lt;3000,T69*0.1,0)</f>
        <v>0</v>
      </c>
      <c r="X69" s="111">
        <v>0</v>
      </c>
      <c r="Y69" s="107">
        <f>+T69+W69+X69</f>
        <v>0</v>
      </c>
    </row>
    <row r="70" spans="1:25" x14ac:dyDescent="0.25">
      <c r="Y70" s="99">
        <f>SUM(Y68:Y69)</f>
        <v>0</v>
      </c>
    </row>
    <row r="71" spans="1:25" x14ac:dyDescent="0.25">
      <c r="B71" s="138" t="s">
        <v>293</v>
      </c>
      <c r="C71" s="138"/>
      <c r="Y71" s="99">
        <f>+Y70*0.16</f>
        <v>0</v>
      </c>
    </row>
    <row r="72" spans="1:25" x14ac:dyDescent="0.25">
      <c r="B72" s="138"/>
      <c r="C72" s="138"/>
      <c r="Y72" s="99">
        <f>+Y70+Y71</f>
        <v>0</v>
      </c>
    </row>
    <row r="73" spans="1:25" x14ac:dyDescent="0.25">
      <c r="B73" s="138"/>
      <c r="C73" s="138"/>
    </row>
    <row r="74" spans="1:25" x14ac:dyDescent="0.25">
      <c r="B74" s="138" t="s">
        <v>294</v>
      </c>
      <c r="C74" s="138"/>
      <c r="Y74" s="99">
        <f>+Y67+Y72</f>
        <v>0</v>
      </c>
    </row>
    <row r="75" spans="1:25" x14ac:dyDescent="0.25">
      <c r="B75" s="115" t="s">
        <v>295</v>
      </c>
    </row>
    <row r="76" spans="1:25" x14ac:dyDescent="0.25">
      <c r="B76" s="115" t="s">
        <v>296</v>
      </c>
    </row>
    <row r="81" spans="1:2" x14ac:dyDescent="0.25">
      <c r="A81" s="115" t="s">
        <v>297</v>
      </c>
      <c r="B81" s="98"/>
    </row>
    <row r="82" spans="1:2" x14ac:dyDescent="0.25">
      <c r="A82" s="115" t="s">
        <v>298</v>
      </c>
      <c r="B82" s="98"/>
    </row>
    <row r="83" spans="1:2" x14ac:dyDescent="0.25">
      <c r="A83" s="115" t="s">
        <v>299</v>
      </c>
      <c r="B83" s="98"/>
    </row>
    <row r="84" spans="1:2" x14ac:dyDescent="0.25">
      <c r="A84" s="115" t="s">
        <v>300</v>
      </c>
      <c r="B84" s="98"/>
    </row>
    <row r="85" spans="1:2" x14ac:dyDescent="0.25">
      <c r="A85" s="115" t="s">
        <v>301</v>
      </c>
      <c r="B85" s="98"/>
    </row>
    <row r="86" spans="1:2" x14ac:dyDescent="0.25">
      <c r="A86" s="115" t="s">
        <v>302</v>
      </c>
      <c r="B86" s="98"/>
    </row>
    <row r="98" spans="9:25" x14ac:dyDescent="0.25"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</row>
    <row r="99" spans="9:25" x14ac:dyDescent="0.25"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</row>
    <row r="100" spans="9:25" x14ac:dyDescent="0.25"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</row>
    <row r="101" spans="9:25" x14ac:dyDescent="0.25"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</row>
    <row r="102" spans="9:25" x14ac:dyDescent="0.25"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</row>
    <row r="103" spans="9:25" x14ac:dyDescent="0.25"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</row>
    <row r="104" spans="9:25" x14ac:dyDescent="0.25"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</row>
    <row r="105" spans="9:25" x14ac:dyDescent="0.25"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</row>
    <row r="106" spans="9:25" x14ac:dyDescent="0.25"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</row>
    <row r="107" spans="9:25" x14ac:dyDescent="0.25"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</row>
    <row r="108" spans="9:25" x14ac:dyDescent="0.25"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</row>
    <row r="109" spans="9:25" x14ac:dyDescent="0.25"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</row>
    <row r="110" spans="9:25" x14ac:dyDescent="0.25"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</row>
    <row r="111" spans="9:25" x14ac:dyDescent="0.25"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</row>
    <row r="112" spans="9:25" x14ac:dyDescent="0.25"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</row>
    <row r="113" spans="9:25" x14ac:dyDescent="0.25"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</row>
    <row r="114" spans="9:25" x14ac:dyDescent="0.25"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</row>
    <row r="115" spans="9:25" x14ac:dyDescent="0.25"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</row>
    <row r="116" spans="9:25" x14ac:dyDescent="0.25"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</row>
    <row r="117" spans="9:25" x14ac:dyDescent="0.25"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</row>
    <row r="118" spans="9:25" x14ac:dyDescent="0.25"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</row>
    <row r="119" spans="9:25" x14ac:dyDescent="0.25"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</row>
    <row r="120" spans="9:25" x14ac:dyDescent="0.25"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</row>
    <row r="121" spans="9:25" x14ac:dyDescent="0.25"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</row>
    <row r="122" spans="9:25" x14ac:dyDescent="0.25"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</row>
    <row r="123" spans="9:25" x14ac:dyDescent="0.25"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</row>
    <row r="124" spans="9:25" x14ac:dyDescent="0.25"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</row>
    <row r="125" spans="9:25" x14ac:dyDescent="0.25"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</row>
    <row r="126" spans="9:25" x14ac:dyDescent="0.25"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</row>
    <row r="127" spans="9:25" x14ac:dyDescent="0.25"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</row>
    <row r="128" spans="9:25" x14ac:dyDescent="0.25"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</row>
    <row r="129" spans="9:25" x14ac:dyDescent="0.25"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</row>
    <row r="130" spans="9:25" x14ac:dyDescent="0.25"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</row>
    <row r="131" spans="9:25" x14ac:dyDescent="0.25"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</row>
    <row r="132" spans="9:25" x14ac:dyDescent="0.25"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</row>
    <row r="133" spans="9:25" x14ac:dyDescent="0.25"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</row>
    <row r="134" spans="9:25" x14ac:dyDescent="0.25"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</row>
    <row r="135" spans="9:25" x14ac:dyDescent="0.25"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</row>
    <row r="136" spans="9:25" x14ac:dyDescent="0.25"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</row>
    <row r="137" spans="9:25" x14ac:dyDescent="0.25"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</row>
    <row r="138" spans="9:25" x14ac:dyDescent="0.25"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</row>
    <row r="139" spans="9:25" x14ac:dyDescent="0.25"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</row>
    <row r="140" spans="9:25" x14ac:dyDescent="0.25"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</row>
    <row r="141" spans="9:25" x14ac:dyDescent="0.25"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</row>
    <row r="142" spans="9:25" x14ac:dyDescent="0.25"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</row>
    <row r="143" spans="9:25" x14ac:dyDescent="0.25"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</row>
    <row r="144" spans="9:25" x14ac:dyDescent="0.25"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</row>
    <row r="145" spans="9:25" x14ac:dyDescent="0.25"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</row>
    <row r="146" spans="9:25" x14ac:dyDescent="0.25"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</row>
    <row r="147" spans="9:25" x14ac:dyDescent="0.25"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</row>
    <row r="148" spans="9:25" x14ac:dyDescent="0.25"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</row>
    <row r="149" spans="9:25" x14ac:dyDescent="0.25"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</row>
    <row r="150" spans="9:25" x14ac:dyDescent="0.25"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</row>
    <row r="151" spans="9:25" x14ac:dyDescent="0.25"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</row>
    <row r="152" spans="9:25" x14ac:dyDescent="0.25"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</row>
    <row r="153" spans="9:25" x14ac:dyDescent="0.25"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</row>
    <row r="154" spans="9:25" x14ac:dyDescent="0.25"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</row>
    <row r="155" spans="9:25" x14ac:dyDescent="0.25"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</row>
    <row r="156" spans="9:25" x14ac:dyDescent="0.25"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</row>
    <row r="157" spans="9:25" x14ac:dyDescent="0.25"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</row>
    <row r="158" spans="9:25" x14ac:dyDescent="0.25"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</row>
    <row r="159" spans="9:25" x14ac:dyDescent="0.25"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</row>
    <row r="160" spans="9:25" x14ac:dyDescent="0.25"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</row>
    <row r="161" spans="9:25" x14ac:dyDescent="0.25"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</row>
    <row r="162" spans="9:25" x14ac:dyDescent="0.25"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</row>
    <row r="163" spans="9:25" x14ac:dyDescent="0.25"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</row>
    <row r="164" spans="9:25" x14ac:dyDescent="0.25"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</row>
    <row r="165" spans="9:25" x14ac:dyDescent="0.25"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</row>
    <row r="166" spans="9:25" x14ac:dyDescent="0.25"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</row>
    <row r="167" spans="9:25" x14ac:dyDescent="0.25"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</row>
    <row r="168" spans="9:25" x14ac:dyDescent="0.25"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</row>
    <row r="169" spans="9:25" x14ac:dyDescent="0.25"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</row>
    <row r="170" spans="9:25" x14ac:dyDescent="0.25"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</row>
    <row r="171" spans="9:25" x14ac:dyDescent="0.25"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</row>
    <row r="172" spans="9:25" x14ac:dyDescent="0.25"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</row>
    <row r="173" spans="9:25" x14ac:dyDescent="0.25"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</row>
    <row r="174" spans="9:25" x14ac:dyDescent="0.25"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</row>
    <row r="175" spans="9:25" x14ac:dyDescent="0.25"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</row>
    <row r="176" spans="9:25" x14ac:dyDescent="0.25"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</row>
    <row r="177" spans="9:25" x14ac:dyDescent="0.25"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</row>
    <row r="178" spans="9:25" x14ac:dyDescent="0.25"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</row>
    <row r="179" spans="9:25" x14ac:dyDescent="0.25"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</row>
    <row r="180" spans="9:25" x14ac:dyDescent="0.25"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</row>
    <row r="181" spans="9:25" x14ac:dyDescent="0.25"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</row>
    <row r="182" spans="9:25" x14ac:dyDescent="0.25"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</row>
    <row r="183" spans="9:25" x14ac:dyDescent="0.25"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</row>
    <row r="184" spans="9:25" x14ac:dyDescent="0.25"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</row>
    <row r="185" spans="9:25" x14ac:dyDescent="0.25"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</row>
    <row r="186" spans="9:25" x14ac:dyDescent="0.25"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</row>
    <row r="187" spans="9:25" x14ac:dyDescent="0.25"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</row>
    <row r="188" spans="9:25" x14ac:dyDescent="0.25"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</row>
    <row r="189" spans="9:25" x14ac:dyDescent="0.25"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</row>
    <row r="190" spans="9:25" x14ac:dyDescent="0.25"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</row>
    <row r="191" spans="9:25" x14ac:dyDescent="0.25"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</row>
    <row r="192" spans="9:25" x14ac:dyDescent="0.25"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</row>
    <row r="193" spans="9:25" x14ac:dyDescent="0.25"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</row>
    <row r="194" spans="9:25" x14ac:dyDescent="0.25"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</row>
    <row r="195" spans="9:25" x14ac:dyDescent="0.25"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</row>
    <row r="196" spans="9:25" x14ac:dyDescent="0.25"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</row>
    <row r="197" spans="9:25" x14ac:dyDescent="0.25"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</row>
    <row r="198" spans="9:25" x14ac:dyDescent="0.25"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</row>
    <row r="199" spans="9:25" x14ac:dyDescent="0.25"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</row>
    <row r="200" spans="9:25" x14ac:dyDescent="0.25"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</row>
    <row r="201" spans="9:25" x14ac:dyDescent="0.25"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</row>
    <row r="202" spans="9:25" x14ac:dyDescent="0.25"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</row>
    <row r="203" spans="9:25" x14ac:dyDescent="0.25"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</row>
    <row r="204" spans="9:25" x14ac:dyDescent="0.25"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</row>
    <row r="205" spans="9:25" x14ac:dyDescent="0.25"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</row>
    <row r="206" spans="9:25" x14ac:dyDescent="0.25"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</row>
    <row r="207" spans="9:25" x14ac:dyDescent="0.25"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9:25" x14ac:dyDescent="0.25"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</row>
    <row r="209" spans="9:25" x14ac:dyDescent="0.25"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</row>
    <row r="210" spans="9:25" x14ac:dyDescent="0.25"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</row>
    <row r="211" spans="9:25" x14ac:dyDescent="0.25"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</row>
    <row r="212" spans="9:25" x14ac:dyDescent="0.25"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</row>
    <row r="213" spans="9:25" x14ac:dyDescent="0.25"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</row>
    <row r="214" spans="9:25" x14ac:dyDescent="0.25"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</row>
    <row r="215" spans="9:25" x14ac:dyDescent="0.25"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</row>
    <row r="216" spans="9:25" x14ac:dyDescent="0.25"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</row>
    <row r="217" spans="9:25" x14ac:dyDescent="0.25"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</row>
    <row r="218" spans="9:25" x14ac:dyDescent="0.25"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</row>
    <row r="219" spans="9:25" x14ac:dyDescent="0.25"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</row>
    <row r="220" spans="9:25" x14ac:dyDescent="0.25"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</row>
    <row r="221" spans="9:25" x14ac:dyDescent="0.25"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</row>
    <row r="222" spans="9:25" x14ac:dyDescent="0.25"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</row>
    <row r="223" spans="9:25" x14ac:dyDescent="0.25"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</row>
    <row r="224" spans="9:25" x14ac:dyDescent="0.25"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</row>
    <row r="225" spans="9:25" x14ac:dyDescent="0.25"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</row>
    <row r="226" spans="9:25" x14ac:dyDescent="0.25"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</row>
    <row r="227" spans="9:25" x14ac:dyDescent="0.25"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</row>
    <row r="228" spans="9:25" x14ac:dyDescent="0.25"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</row>
    <row r="229" spans="9:25" x14ac:dyDescent="0.25"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</row>
    <row r="230" spans="9:25" x14ac:dyDescent="0.25"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</row>
    <row r="231" spans="9:25" x14ac:dyDescent="0.25"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</row>
    <row r="232" spans="9:25" x14ac:dyDescent="0.25"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</row>
    <row r="233" spans="9:25" x14ac:dyDescent="0.25"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</row>
    <row r="234" spans="9:25" x14ac:dyDescent="0.25"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</row>
    <row r="235" spans="9:25" x14ac:dyDescent="0.25"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</row>
    <row r="236" spans="9:25" x14ac:dyDescent="0.25"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</row>
    <row r="237" spans="9:25" x14ac:dyDescent="0.25"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</row>
    <row r="238" spans="9:25" x14ac:dyDescent="0.25"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</row>
    <row r="239" spans="9:25" x14ac:dyDescent="0.25"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</row>
    <row r="240" spans="9:25" x14ac:dyDescent="0.25"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</row>
    <row r="241" spans="9:25" x14ac:dyDescent="0.25"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</row>
    <row r="242" spans="9:25" x14ac:dyDescent="0.25"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</row>
    <row r="243" spans="9:25" x14ac:dyDescent="0.25"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</row>
    <row r="244" spans="9:25" x14ac:dyDescent="0.25"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</row>
    <row r="245" spans="9:25" x14ac:dyDescent="0.25"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</row>
    <row r="246" spans="9:25" x14ac:dyDescent="0.25"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</row>
    <row r="247" spans="9:25" x14ac:dyDescent="0.25"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</row>
    <row r="248" spans="9:25" x14ac:dyDescent="0.25"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</row>
    <row r="249" spans="9:25" x14ac:dyDescent="0.25"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</row>
    <row r="250" spans="9:25" x14ac:dyDescent="0.25"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</row>
    <row r="251" spans="9:25" x14ac:dyDescent="0.25"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</row>
    <row r="252" spans="9:25" x14ac:dyDescent="0.25"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5"/>
      <c r="Y252" s="115"/>
    </row>
    <row r="253" spans="9:25" x14ac:dyDescent="0.25"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</row>
    <row r="254" spans="9:25" x14ac:dyDescent="0.25"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</row>
    <row r="255" spans="9:25" x14ac:dyDescent="0.25"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</row>
    <row r="256" spans="9:25" x14ac:dyDescent="0.25"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</row>
    <row r="257" spans="9:25" x14ac:dyDescent="0.25"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</row>
    <row r="258" spans="9:25" x14ac:dyDescent="0.25"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</row>
    <row r="259" spans="9:25" x14ac:dyDescent="0.25"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</row>
    <row r="260" spans="9:25" x14ac:dyDescent="0.25"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</row>
    <row r="261" spans="9:25" x14ac:dyDescent="0.25"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</row>
    <row r="262" spans="9:25" x14ac:dyDescent="0.25"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</row>
    <row r="263" spans="9:25" x14ac:dyDescent="0.25"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</row>
    <row r="264" spans="9:25" x14ac:dyDescent="0.25"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</row>
    <row r="265" spans="9:25" x14ac:dyDescent="0.25"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</row>
    <row r="266" spans="9:25" x14ac:dyDescent="0.25"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</row>
    <row r="267" spans="9:25" x14ac:dyDescent="0.25"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</row>
    <row r="268" spans="9:25" x14ac:dyDescent="0.25"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</row>
    <row r="269" spans="9:25" x14ac:dyDescent="0.25"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</row>
    <row r="270" spans="9:25" x14ac:dyDescent="0.25"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</row>
    <row r="271" spans="9:25" x14ac:dyDescent="0.25"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</row>
    <row r="272" spans="9:25" x14ac:dyDescent="0.25"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</row>
    <row r="273" spans="9:25" x14ac:dyDescent="0.25"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</row>
    <row r="274" spans="9:25" x14ac:dyDescent="0.25"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</row>
    <row r="275" spans="9:25" x14ac:dyDescent="0.25"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</row>
    <row r="276" spans="9:25" x14ac:dyDescent="0.25"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15"/>
    </row>
    <row r="277" spans="9:25" x14ac:dyDescent="0.25"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</row>
    <row r="278" spans="9:25" x14ac:dyDescent="0.25"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15"/>
    </row>
    <row r="279" spans="9:25" x14ac:dyDescent="0.25"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</row>
    <row r="280" spans="9:25" x14ac:dyDescent="0.25"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</row>
    <row r="281" spans="9:25" x14ac:dyDescent="0.25"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15"/>
    </row>
    <row r="282" spans="9:25" x14ac:dyDescent="0.25"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</row>
    <row r="283" spans="9:25" x14ac:dyDescent="0.25"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</row>
    <row r="284" spans="9:25" x14ac:dyDescent="0.25"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</row>
    <row r="285" spans="9:25" x14ac:dyDescent="0.25"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</row>
    <row r="286" spans="9:25" x14ac:dyDescent="0.25"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</row>
    <row r="287" spans="9:25" x14ac:dyDescent="0.25"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</row>
    <row r="288" spans="9:25" x14ac:dyDescent="0.25"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</row>
    <row r="289" spans="9:25" x14ac:dyDescent="0.25"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</row>
    <row r="290" spans="9:25" x14ac:dyDescent="0.25"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15"/>
    </row>
    <row r="291" spans="9:25" x14ac:dyDescent="0.25"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15"/>
    </row>
    <row r="292" spans="9:25" x14ac:dyDescent="0.25"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115"/>
      <c r="Y292" s="115"/>
    </row>
    <row r="293" spans="9:25" x14ac:dyDescent="0.25"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  <c r="X293" s="115"/>
      <c r="Y293" s="115"/>
    </row>
    <row r="294" spans="9:25" x14ac:dyDescent="0.25"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</row>
    <row r="295" spans="9:25" x14ac:dyDescent="0.25"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15"/>
    </row>
    <row r="296" spans="9:25" x14ac:dyDescent="0.25"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  <c r="X296" s="115"/>
      <c r="Y296" s="115"/>
    </row>
    <row r="297" spans="9:25" x14ac:dyDescent="0.25"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15"/>
    </row>
    <row r="298" spans="9:25" x14ac:dyDescent="0.25"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15"/>
    </row>
    <row r="299" spans="9:25" x14ac:dyDescent="0.25"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  <c r="X299" s="115"/>
      <c r="Y299" s="115"/>
    </row>
    <row r="300" spans="9:25" x14ac:dyDescent="0.25"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  <c r="X300" s="115"/>
      <c r="Y300" s="115"/>
    </row>
    <row r="301" spans="9:25" x14ac:dyDescent="0.25"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  <c r="W301" s="115"/>
      <c r="X301" s="115"/>
      <c r="Y301" s="115"/>
    </row>
    <row r="302" spans="9:25" x14ac:dyDescent="0.25"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  <c r="X302" s="115"/>
      <c r="Y302" s="115"/>
    </row>
    <row r="303" spans="9:25" x14ac:dyDescent="0.25"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115"/>
      <c r="X303" s="115"/>
      <c r="Y303" s="115"/>
    </row>
    <row r="304" spans="9:25" x14ac:dyDescent="0.25"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  <c r="W304" s="115"/>
      <c r="X304" s="115"/>
      <c r="Y304" s="115"/>
    </row>
    <row r="305" spans="9:25" x14ac:dyDescent="0.25"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  <c r="W305" s="115"/>
      <c r="X305" s="115"/>
      <c r="Y305" s="115"/>
    </row>
    <row r="306" spans="9:25" x14ac:dyDescent="0.25"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  <c r="W306" s="115"/>
      <c r="X306" s="115"/>
      <c r="Y306" s="115"/>
    </row>
    <row r="307" spans="9:25" x14ac:dyDescent="0.25"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  <c r="W307" s="115"/>
      <c r="X307" s="115"/>
      <c r="Y307" s="115"/>
    </row>
    <row r="308" spans="9:25" x14ac:dyDescent="0.25"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  <c r="W308" s="115"/>
      <c r="X308" s="115"/>
      <c r="Y308" s="115"/>
    </row>
    <row r="309" spans="9:25" x14ac:dyDescent="0.25"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  <c r="W309" s="115"/>
      <c r="X309" s="115"/>
      <c r="Y309" s="115"/>
    </row>
    <row r="310" spans="9:25" x14ac:dyDescent="0.25"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  <c r="W310" s="115"/>
      <c r="X310" s="115"/>
      <c r="Y310" s="115"/>
    </row>
    <row r="311" spans="9:25" x14ac:dyDescent="0.25"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  <c r="W311" s="115"/>
      <c r="X311" s="115"/>
      <c r="Y311" s="115"/>
    </row>
    <row r="312" spans="9:25" x14ac:dyDescent="0.25"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  <c r="W312" s="115"/>
      <c r="X312" s="115"/>
      <c r="Y312" s="115"/>
    </row>
    <row r="313" spans="9:25" x14ac:dyDescent="0.25"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</row>
  </sheetData>
  <mergeCells count="23">
    <mergeCell ref="V5:V6"/>
    <mergeCell ref="W5:W6"/>
    <mergeCell ref="X5:X6"/>
    <mergeCell ref="Y5:Y6"/>
    <mergeCell ref="A67:B67"/>
    <mergeCell ref="P5:P6"/>
    <mergeCell ref="Q5:Q6"/>
    <mergeCell ref="R5:R6"/>
    <mergeCell ref="S5:S6"/>
    <mergeCell ref="T5:T6"/>
    <mergeCell ref="U5:U6"/>
    <mergeCell ref="I5:I6"/>
    <mergeCell ref="K5:K6"/>
    <mergeCell ref="L5:L6"/>
    <mergeCell ref="M5:M6"/>
    <mergeCell ref="N5:N6"/>
    <mergeCell ref="O5:O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BX71"/>
  <sheetViews>
    <sheetView workbookViewId="0">
      <pane xSplit="2" ySplit="8" topLeftCell="D9" activePane="bottomRight" state="frozen"/>
      <selection pane="topRight" activeCell="C1" sqref="C1"/>
      <selection pane="bottomLeft" activeCell="A13" sqref="A13"/>
      <selection pane="bottomRight" activeCell="Q9" sqref="Q9:Q63"/>
    </sheetView>
  </sheetViews>
  <sheetFormatPr baseColWidth="10" defaultRowHeight="11.25" x14ac:dyDescent="0.2"/>
  <cols>
    <col min="1" max="1" width="12.28515625" style="22" customWidth="1"/>
    <col min="2" max="2" width="30.7109375" style="18" customWidth="1"/>
    <col min="3" max="3" width="13" style="18" bestFit="1" customWidth="1"/>
    <col min="4" max="4" width="13" style="18" customWidth="1"/>
    <col min="5" max="5" width="11.28515625" style="18" bestFit="1" customWidth="1"/>
    <col min="6" max="7" width="11.28515625" style="18" customWidth="1"/>
    <col min="8" max="8" width="8.42578125" style="18" bestFit="1" customWidth="1"/>
    <col min="9" max="9" width="9.7109375" style="18" customWidth="1"/>
    <col min="10" max="10" width="8.42578125" style="18" customWidth="1"/>
    <col min="11" max="11" width="6.140625" style="48" bestFit="1" customWidth="1"/>
    <col min="12" max="13" width="13" style="18" customWidth="1"/>
    <col min="14" max="14" width="13.5703125" style="18" customWidth="1"/>
    <col min="15" max="15" width="12.85546875" style="18" customWidth="1"/>
    <col min="16" max="16" width="10.140625" style="18" customWidth="1"/>
    <col min="17" max="19" width="13" style="18" customWidth="1"/>
    <col min="20" max="21" width="13" style="18" hidden="1" customWidth="1"/>
    <col min="22" max="22" width="16.140625" style="18" hidden="1" customWidth="1"/>
    <col min="23" max="23" width="39.7109375" style="18" hidden="1" customWidth="1"/>
    <col min="24" max="29" width="11.42578125" style="18" hidden="1" customWidth="1"/>
    <col min="30" max="30" width="12.42578125" style="18" hidden="1" customWidth="1"/>
    <col min="31" max="34" width="11.42578125" style="18" hidden="1" customWidth="1"/>
    <col min="35" max="35" width="20.140625" style="18" hidden="1" customWidth="1"/>
    <col min="36" max="46" width="11.42578125" style="18" hidden="1" customWidth="1"/>
    <col min="47" max="47" width="26.42578125" style="18" hidden="1" customWidth="1"/>
    <col min="48" max="62" width="11.42578125" style="18" hidden="1" customWidth="1"/>
    <col min="63" max="63" width="12.42578125" style="18" hidden="1" customWidth="1"/>
    <col min="64" max="72" width="11.42578125" style="18" hidden="1" customWidth="1"/>
    <col min="73" max="74" width="16.140625" style="18" hidden="1" customWidth="1"/>
    <col min="75" max="75" width="0" style="18" hidden="1" customWidth="1"/>
    <col min="76" max="16384" width="11.42578125" style="18"/>
  </cols>
  <sheetData>
    <row r="1" spans="1:76" ht="18" customHeight="1" x14ac:dyDescent="0.25">
      <c r="A1" s="17" t="s">
        <v>0</v>
      </c>
      <c r="B1" s="180" t="s">
        <v>121</v>
      </c>
      <c r="C1" s="181"/>
      <c r="D1" s="57"/>
      <c r="E1" s="57"/>
      <c r="F1" s="81"/>
      <c r="G1" s="81"/>
      <c r="H1" s="81"/>
      <c r="I1" s="81"/>
      <c r="J1" s="81"/>
      <c r="K1" s="46"/>
      <c r="L1" s="57"/>
      <c r="M1" s="81"/>
    </row>
    <row r="2" spans="1:76" ht="24.95" customHeight="1" x14ac:dyDescent="0.2">
      <c r="A2" s="19" t="s">
        <v>1</v>
      </c>
      <c r="B2" s="20" t="s">
        <v>2</v>
      </c>
      <c r="C2" s="21"/>
      <c r="D2" s="21"/>
      <c r="E2" s="21"/>
      <c r="F2" s="21"/>
      <c r="G2" s="21"/>
      <c r="H2" s="21"/>
      <c r="I2" s="21"/>
      <c r="J2" s="21"/>
      <c r="K2" s="47"/>
      <c r="L2" s="21"/>
      <c r="M2" s="21"/>
    </row>
    <row r="3" spans="1:76" ht="15.75" x14ac:dyDescent="0.25">
      <c r="B3" s="182" t="s">
        <v>3</v>
      </c>
      <c r="C3" s="181"/>
      <c r="D3" s="57"/>
      <c r="E3" s="57"/>
      <c r="F3" s="81"/>
      <c r="G3" s="81"/>
      <c r="H3" s="81"/>
      <c r="I3" s="81"/>
      <c r="J3" s="81"/>
      <c r="K3" s="46"/>
      <c r="L3" s="57"/>
      <c r="M3" s="81"/>
    </row>
    <row r="4" spans="1:76" ht="15" x14ac:dyDescent="0.25">
      <c r="B4" s="156" t="s">
        <v>309</v>
      </c>
      <c r="C4" s="57"/>
      <c r="D4" s="57"/>
      <c r="E4" s="57"/>
      <c r="F4" s="81"/>
      <c r="G4" s="81"/>
      <c r="H4" s="81"/>
      <c r="I4" s="81"/>
      <c r="J4" s="81"/>
      <c r="K4" s="46"/>
      <c r="L4" s="57"/>
      <c r="M4" s="81"/>
    </row>
    <row r="5" spans="1:76" x14ac:dyDescent="0.2">
      <c r="B5" s="24" t="s">
        <v>310</v>
      </c>
    </row>
    <row r="6" spans="1:76" x14ac:dyDescent="0.2">
      <c r="B6" s="24" t="s">
        <v>5</v>
      </c>
    </row>
    <row r="7" spans="1:76" x14ac:dyDescent="0.2">
      <c r="C7" s="18" t="s">
        <v>150</v>
      </c>
      <c r="AI7" s="18" t="s">
        <v>311</v>
      </c>
    </row>
    <row r="8" spans="1:76" s="34" customFormat="1" ht="23.25" customHeight="1" thickBot="1" x14ac:dyDescent="0.3">
      <c r="A8" s="33" t="s">
        <v>6</v>
      </c>
      <c r="B8" s="25" t="s">
        <v>7</v>
      </c>
      <c r="C8" s="25" t="s">
        <v>149</v>
      </c>
      <c r="D8" s="25" t="s">
        <v>156</v>
      </c>
      <c r="E8" s="25" t="s">
        <v>151</v>
      </c>
      <c r="F8" s="147" t="s">
        <v>305</v>
      </c>
      <c r="G8" s="147" t="s">
        <v>313</v>
      </c>
      <c r="H8" s="25" t="s">
        <v>193</v>
      </c>
      <c r="I8" s="25" t="s">
        <v>312</v>
      </c>
      <c r="J8" s="147" t="s">
        <v>306</v>
      </c>
      <c r="K8" s="49" t="s">
        <v>157</v>
      </c>
      <c r="L8" s="25" t="s">
        <v>148</v>
      </c>
      <c r="M8" s="25" t="s">
        <v>304</v>
      </c>
      <c r="N8" s="25" t="s">
        <v>9</v>
      </c>
      <c r="O8" s="25" t="s">
        <v>153</v>
      </c>
      <c r="P8" s="25" t="s">
        <v>154</v>
      </c>
      <c r="Q8" s="25" t="s">
        <v>155</v>
      </c>
      <c r="R8" s="25" t="s">
        <v>147</v>
      </c>
      <c r="S8" s="25" t="s">
        <v>315</v>
      </c>
      <c r="T8" s="25"/>
      <c r="U8" s="53" t="s">
        <v>316</v>
      </c>
      <c r="W8" s="175" t="s">
        <v>124</v>
      </c>
      <c r="X8" s="175" t="s">
        <v>181</v>
      </c>
      <c r="Y8" s="175" t="s">
        <v>182</v>
      </c>
      <c r="Z8" s="174" t="s">
        <v>183</v>
      </c>
      <c r="AA8" s="174" t="s">
        <v>184</v>
      </c>
      <c r="AB8" s="100"/>
      <c r="AC8" s="100"/>
      <c r="AD8" s="174" t="s">
        <v>185</v>
      </c>
      <c r="AE8" s="100"/>
      <c r="AF8" s="174" t="s">
        <v>186</v>
      </c>
      <c r="AG8" s="174" t="s">
        <v>187</v>
      </c>
      <c r="AH8" s="174" t="s">
        <v>188</v>
      </c>
      <c r="AI8" s="174" t="s">
        <v>189</v>
      </c>
      <c r="AJ8" s="174" t="s">
        <v>190</v>
      </c>
      <c r="AK8" s="174" t="s">
        <v>191</v>
      </c>
      <c r="AL8" s="174" t="s">
        <v>192</v>
      </c>
      <c r="AM8" s="174" t="s">
        <v>193</v>
      </c>
      <c r="AN8" s="174" t="s">
        <v>125</v>
      </c>
      <c r="AO8" s="174" t="s">
        <v>194</v>
      </c>
      <c r="AP8" s="174" t="s">
        <v>195</v>
      </c>
      <c r="AQ8" s="174" t="s">
        <v>196</v>
      </c>
      <c r="AR8" s="174" t="s">
        <v>197</v>
      </c>
      <c r="AS8" s="174" t="s">
        <v>198</v>
      </c>
      <c r="AT8" s="174" t="s">
        <v>199</v>
      </c>
      <c r="AU8" s="101"/>
      <c r="BX8" s="25" t="s">
        <v>316</v>
      </c>
    </row>
    <row r="9" spans="1:76" s="28" customFormat="1" ht="16.5" thickTop="1" x14ac:dyDescent="0.25">
      <c r="A9" s="27" t="s">
        <v>15</v>
      </c>
      <c r="B9" s="28" t="s">
        <v>16</v>
      </c>
      <c r="C9" s="29">
        <v>1200</v>
      </c>
      <c r="D9" s="29">
        <v>200.732997277355</v>
      </c>
      <c r="E9" s="29">
        <f>+AE9</f>
        <v>362.7</v>
      </c>
      <c r="F9" s="29"/>
      <c r="G9" s="29"/>
      <c r="H9" s="29">
        <f>+AM9</f>
        <v>0</v>
      </c>
      <c r="I9" s="29"/>
      <c r="J9" s="29"/>
      <c r="K9" s="50"/>
      <c r="L9" s="29">
        <f>+AN9</f>
        <v>0</v>
      </c>
      <c r="M9" s="29">
        <f>+AP9</f>
        <v>0</v>
      </c>
      <c r="N9" s="29">
        <f>+C9+D9+E9+F9-H9-J9+K9-L9-M9+G9-I9</f>
        <v>1763.4329972773551</v>
      </c>
      <c r="O9" s="29">
        <f>+BL9</f>
        <v>176.34329972773551</v>
      </c>
      <c r="P9" s="29">
        <f>+'C&amp;A'!D10*0.02</f>
        <v>21.911999999999999</v>
      </c>
      <c r="Q9" s="29">
        <f>+C9+D9+E9-H9-J9+F9+K9+O9+P9+G9-I9</f>
        <v>1961.6882970050906</v>
      </c>
      <c r="R9" s="29">
        <f>+Q9*0.16</f>
        <v>313.87012752081449</v>
      </c>
      <c r="S9" s="29">
        <f>+Q9+R9</f>
        <v>2275.5584245259051</v>
      </c>
      <c r="T9" s="62">
        <f>+'C&amp;A'!H10+SINDICATO!L10</f>
        <v>1763.4329972773551</v>
      </c>
      <c r="U9" s="29">
        <f>+T9-N9</f>
        <v>0</v>
      </c>
      <c r="V9" s="148"/>
      <c r="W9" s="149" t="s">
        <v>203</v>
      </c>
      <c r="X9" s="150" t="s">
        <v>15</v>
      </c>
      <c r="Y9" s="149" t="s">
        <v>123</v>
      </c>
      <c r="Z9" s="149"/>
      <c r="AA9" s="149"/>
      <c r="AB9" s="151">
        <v>1237.2399999999998</v>
      </c>
      <c r="AC9" s="149">
        <v>-37.239999999999803</v>
      </c>
      <c r="AD9" s="151">
        <f>+AB9+AC9</f>
        <v>1200</v>
      </c>
      <c r="AE9" s="151">
        <v>362.7</v>
      </c>
      <c r="AF9" s="151"/>
      <c r="AG9" s="151"/>
      <c r="AH9" s="152"/>
      <c r="AI9" s="134">
        <f>SUM(AD9:AG9)-AH9+D9</f>
        <v>1763.4329972773551</v>
      </c>
      <c r="AJ9" s="151"/>
      <c r="AK9" s="111"/>
      <c r="AL9" s="111"/>
      <c r="AM9" s="153"/>
      <c r="AN9" s="153">
        <v>0</v>
      </c>
      <c r="AO9" s="134">
        <f t="shared" ref="AO9:AO63" si="0">+AI9-SUM(AJ9:AN9)</f>
        <v>1763.4329972773551</v>
      </c>
      <c r="AP9" s="111">
        <f t="shared" ref="AP9:AP63" si="1">IF(AI9&gt;4500,AI9*0.1,0)</f>
        <v>0</v>
      </c>
      <c r="AQ9" s="134">
        <f t="shared" ref="AQ9:AQ63" si="2">+AO9-AP9</f>
        <v>1763.4329972773551</v>
      </c>
      <c r="AR9" s="111">
        <f>IF(AI9&lt;4500,AI9*0.1,0)</f>
        <v>176.34329972773551</v>
      </c>
      <c r="AS9" s="111">
        <f t="shared" ref="AS9:AS63" si="3">AB9*0.02</f>
        <v>24.744799999999998</v>
      </c>
      <c r="AT9" s="134">
        <f t="shared" ref="AT9:AT63" si="4">+AI9+AR9+AS9</f>
        <v>1964.5210970050905</v>
      </c>
      <c r="AU9" s="113"/>
      <c r="BK9" s="55">
        <f>+C9+D9+E9+F9+G9-H9</f>
        <v>1763.4329972773551</v>
      </c>
      <c r="BL9" s="29">
        <f>IF(BK9&lt;4500,BK9*0.1,0)</f>
        <v>176.34329972773551</v>
      </c>
      <c r="BM9" s="29">
        <f>IF(BK9&gt;4500,BK9*0.1,0)</f>
        <v>0</v>
      </c>
      <c r="BU9" s="50">
        <f>+C9+D9+E9+F9+G9</f>
        <v>1763.4329972773551</v>
      </c>
      <c r="BV9" s="50">
        <f>+'C&amp;A'!H10+SINDICATO!D10</f>
        <v>1763.4329972773551</v>
      </c>
      <c r="BW9" s="50">
        <f>+BU9-BV9</f>
        <v>0</v>
      </c>
      <c r="BX9" s="55" t="s">
        <v>317</v>
      </c>
    </row>
    <row r="10" spans="1:76" s="28" customFormat="1" ht="15.75" x14ac:dyDescent="0.25">
      <c r="A10" s="27" t="s">
        <v>17</v>
      </c>
      <c r="B10" s="28" t="s">
        <v>18</v>
      </c>
      <c r="C10" s="29">
        <v>3500</v>
      </c>
      <c r="D10" s="29">
        <v>0</v>
      </c>
      <c r="E10" s="29">
        <f t="shared" ref="E10:E63" si="5">+AE10</f>
        <v>1777.5</v>
      </c>
      <c r="F10" s="29"/>
      <c r="G10" s="29"/>
      <c r="H10" s="29">
        <f t="shared" ref="H10:H63" si="6">+AM10</f>
        <v>0</v>
      </c>
      <c r="I10" s="29"/>
      <c r="J10" s="29"/>
      <c r="K10" s="50"/>
      <c r="L10" s="29">
        <f t="shared" ref="L10:L63" si="7">+AN10</f>
        <v>0</v>
      </c>
      <c r="M10" s="29">
        <f t="shared" ref="M10:M63" si="8">+AP10</f>
        <v>527.75</v>
      </c>
      <c r="N10" s="29">
        <f t="shared" ref="N10:N63" si="9">+C10+D10+E10+F10-H10-J10+K10-L10-M10+G10-I10</f>
        <v>4749.75</v>
      </c>
      <c r="O10" s="29">
        <f t="shared" ref="O10:O63" si="10">+BL10</f>
        <v>0</v>
      </c>
      <c r="P10" s="29">
        <f>+'C&amp;A'!D11*0.02</f>
        <v>21.911999999999999</v>
      </c>
      <c r="Q10" s="29">
        <f t="shared" ref="Q10:Q63" si="11">+C10+D10+E10-H10-J10+F10+K10+O10+P10+G10-I10</f>
        <v>5299.4120000000003</v>
      </c>
      <c r="R10" s="29">
        <f t="shared" ref="R10:R63" si="12">+Q10*0.16</f>
        <v>847.90592000000004</v>
      </c>
      <c r="S10" s="29">
        <f t="shared" ref="S10:S63" si="13">+Q10+R10</f>
        <v>6147.3179200000004</v>
      </c>
      <c r="T10" s="62">
        <f>+'C&amp;A'!H11+SINDICATO!L11</f>
        <v>4749.75</v>
      </c>
      <c r="U10" s="29">
        <f t="shared" ref="U10:U63" si="14">+T10-N10</f>
        <v>0</v>
      </c>
      <c r="V10" s="148"/>
      <c r="W10" s="149" t="s">
        <v>127</v>
      </c>
      <c r="X10" s="150" t="s">
        <v>17</v>
      </c>
      <c r="Y10" s="149" t="s">
        <v>205</v>
      </c>
      <c r="Z10" s="149" t="s">
        <v>206</v>
      </c>
      <c r="AA10" s="149"/>
      <c r="AB10" s="151">
        <v>1237.2399999999998</v>
      </c>
      <c r="AC10" s="149">
        <v>2262.7600000000002</v>
      </c>
      <c r="AD10" s="151">
        <f t="shared" ref="AD10:AD46" si="15">+AB10+AC10</f>
        <v>3500</v>
      </c>
      <c r="AE10" s="151">
        <v>1777.5</v>
      </c>
      <c r="AF10" s="151"/>
      <c r="AG10" s="151"/>
      <c r="AH10" s="152"/>
      <c r="AI10" s="134">
        <f t="shared" ref="AI10:AI63" si="16">SUM(AD10:AG10)-AH10+D10</f>
        <v>5277.5</v>
      </c>
      <c r="AJ10" s="151"/>
      <c r="AK10" s="111"/>
      <c r="AL10" s="111"/>
      <c r="AM10" s="153"/>
      <c r="AN10" s="153">
        <v>0</v>
      </c>
      <c r="AO10" s="134">
        <f t="shared" si="0"/>
        <v>5277.5</v>
      </c>
      <c r="AP10" s="111">
        <f>IF(AI10&gt;4500,AI10*0.1,0)</f>
        <v>527.75</v>
      </c>
      <c r="AQ10" s="134">
        <f t="shared" si="2"/>
        <v>4749.75</v>
      </c>
      <c r="AR10" s="111">
        <f t="shared" ref="AR10:AR63" si="17">IF(AI10&lt;4500,AI10*0.1,0)</f>
        <v>0</v>
      </c>
      <c r="AS10" s="111">
        <f t="shared" si="3"/>
        <v>24.744799999999998</v>
      </c>
      <c r="AT10" s="134">
        <f t="shared" si="4"/>
        <v>5302.2448000000004</v>
      </c>
      <c r="AU10" s="113"/>
      <c r="BK10" s="55">
        <f t="shared" ref="BK10:BK63" si="18">+C10+D10+E10+F10+G10-H10</f>
        <v>5277.5</v>
      </c>
      <c r="BL10" s="29">
        <f t="shared" ref="BL10:BL64" si="19">IF(BK10&lt;4500,BK10*0.1,0)</f>
        <v>0</v>
      </c>
      <c r="BM10" s="29">
        <f t="shared" ref="BM10:BM63" si="20">IF(BK10&gt;4500,BK10*0.1,0)</f>
        <v>527.75</v>
      </c>
      <c r="BU10" s="50">
        <f t="shared" ref="BU10:BU63" si="21">+C10+D10+E10+F10+G10</f>
        <v>5277.5</v>
      </c>
      <c r="BV10" s="50">
        <f>+'C&amp;A'!H11+SINDICATO!D11</f>
        <v>5277.5</v>
      </c>
      <c r="BW10" s="50">
        <f t="shared" ref="BW10:BW63" si="22">+BU10-BV10</f>
        <v>0</v>
      </c>
      <c r="BX10" s="55" t="s">
        <v>317</v>
      </c>
    </row>
    <row r="11" spans="1:76" s="28" customFormat="1" ht="15.75" hidden="1" x14ac:dyDescent="0.25">
      <c r="A11" s="27" t="s">
        <v>19</v>
      </c>
      <c r="B11" s="28" t="s">
        <v>20</v>
      </c>
      <c r="C11" s="29">
        <v>1250</v>
      </c>
      <c r="D11" s="29">
        <v>200.73299727735468</v>
      </c>
      <c r="E11" s="29">
        <f t="shared" si="5"/>
        <v>0</v>
      </c>
      <c r="F11" s="29">
        <f>+(C11/15)*4</f>
        <v>333.33333333333331</v>
      </c>
      <c r="G11" s="29">
        <f>+((C11/15)/8)*12*2</f>
        <v>250</v>
      </c>
      <c r="H11" s="29">
        <f t="shared" si="6"/>
        <v>0</v>
      </c>
      <c r="I11" s="29"/>
      <c r="J11" s="29"/>
      <c r="K11" s="50"/>
      <c r="L11" s="29">
        <f t="shared" si="7"/>
        <v>0</v>
      </c>
      <c r="M11" s="29">
        <f t="shared" si="8"/>
        <v>0</v>
      </c>
      <c r="N11" s="29">
        <f>+C11+D11+E11+F11-H11-J11+K11-L11-M11+G11-I11</f>
        <v>2034.0663306106878</v>
      </c>
      <c r="O11" s="29">
        <f t="shared" si="10"/>
        <v>203.40663306106879</v>
      </c>
      <c r="P11" s="29">
        <f>+'C&amp;A'!D12*0.02</f>
        <v>21.911999999999999</v>
      </c>
      <c r="Q11" s="29">
        <f t="shared" si="11"/>
        <v>2259.3849636717569</v>
      </c>
      <c r="R11" s="29">
        <f t="shared" si="12"/>
        <v>361.50159418748109</v>
      </c>
      <c r="S11" s="29">
        <f t="shared" si="13"/>
        <v>2620.8865578592381</v>
      </c>
      <c r="T11" s="62">
        <f>+'C&amp;A'!H12+SINDICATO!L12</f>
        <v>2034.0663306106878</v>
      </c>
      <c r="U11" s="29">
        <f>+T11-N11</f>
        <v>0</v>
      </c>
      <c r="V11" s="148"/>
      <c r="W11" s="149" t="s">
        <v>207</v>
      </c>
      <c r="X11" s="150" t="s">
        <v>19</v>
      </c>
      <c r="Y11" s="149" t="s">
        <v>208</v>
      </c>
      <c r="Z11" s="149" t="s">
        <v>206</v>
      </c>
      <c r="AA11" s="149"/>
      <c r="AB11" s="151">
        <v>1237.2399999999998</v>
      </c>
      <c r="AC11" s="149">
        <v>12.760000000000218</v>
      </c>
      <c r="AD11" s="151">
        <f t="shared" si="15"/>
        <v>1250</v>
      </c>
      <c r="AE11" s="151"/>
      <c r="AF11" s="151"/>
      <c r="AG11" s="151"/>
      <c r="AH11" s="152"/>
      <c r="AI11" s="134">
        <f t="shared" si="16"/>
        <v>1450.7329972773546</v>
      </c>
      <c r="AJ11" s="151"/>
      <c r="AK11" s="111"/>
      <c r="AL11" s="111"/>
      <c r="AM11" s="153"/>
      <c r="AN11" s="153">
        <v>0</v>
      </c>
      <c r="AO11" s="134">
        <f t="shared" si="0"/>
        <v>1450.7329972773546</v>
      </c>
      <c r="AP11" s="111">
        <f t="shared" si="1"/>
        <v>0</v>
      </c>
      <c r="AQ11" s="134">
        <f t="shared" si="2"/>
        <v>1450.7329972773546</v>
      </c>
      <c r="AR11" s="111">
        <f t="shared" si="17"/>
        <v>145.07329972773547</v>
      </c>
      <c r="AS11" s="111">
        <f t="shared" si="3"/>
        <v>24.744799999999998</v>
      </c>
      <c r="AT11" s="134">
        <f t="shared" si="4"/>
        <v>1620.55109700509</v>
      </c>
      <c r="AU11" s="101" t="s">
        <v>209</v>
      </c>
      <c r="BK11" s="55">
        <f t="shared" si="18"/>
        <v>2034.0663306106878</v>
      </c>
      <c r="BL11" s="29">
        <f t="shared" si="19"/>
        <v>203.40663306106879</v>
      </c>
      <c r="BM11" s="29">
        <f t="shared" si="20"/>
        <v>0</v>
      </c>
      <c r="BU11" s="50">
        <f t="shared" si="21"/>
        <v>2034.0663306106878</v>
      </c>
      <c r="BV11" s="50">
        <f>+'C&amp;A'!H12+SINDICATO!D12</f>
        <v>2034.0663306106878</v>
      </c>
      <c r="BW11" s="50">
        <f t="shared" si="22"/>
        <v>0</v>
      </c>
      <c r="BX11" s="55" t="s">
        <v>318</v>
      </c>
    </row>
    <row r="12" spans="1:76" s="28" customFormat="1" ht="15.75" hidden="1" x14ac:dyDescent="0.25">
      <c r="A12" s="27" t="s">
        <v>21</v>
      </c>
      <c r="B12" s="28" t="s">
        <v>22</v>
      </c>
      <c r="C12" s="29">
        <v>3500</v>
      </c>
      <c r="D12" s="29">
        <v>125.12056780965156</v>
      </c>
      <c r="E12" s="29">
        <f t="shared" si="5"/>
        <v>0</v>
      </c>
      <c r="F12" s="29"/>
      <c r="G12" s="29"/>
      <c r="H12" s="29">
        <f t="shared" si="6"/>
        <v>0</v>
      </c>
      <c r="I12" s="29"/>
      <c r="J12" s="29"/>
      <c r="K12" s="50"/>
      <c r="L12" s="29">
        <f t="shared" si="7"/>
        <v>2181.2800000000002</v>
      </c>
      <c r="M12" s="29">
        <f t="shared" si="8"/>
        <v>0</v>
      </c>
      <c r="N12" s="29">
        <f t="shared" si="9"/>
        <v>1443.8405678096515</v>
      </c>
      <c r="O12" s="29">
        <f t="shared" si="10"/>
        <v>362.51205678096517</v>
      </c>
      <c r="P12" s="29">
        <f>+'C&amp;A'!D13*0.02</f>
        <v>21.911999999999999</v>
      </c>
      <c r="Q12" s="29">
        <f t="shared" si="11"/>
        <v>4009.5446245906164</v>
      </c>
      <c r="R12" s="29">
        <f t="shared" si="12"/>
        <v>641.52713993449868</v>
      </c>
      <c r="S12" s="29">
        <f t="shared" si="13"/>
        <v>4651.0717645251152</v>
      </c>
      <c r="T12" s="62">
        <f>+'C&amp;A'!H13+SINDICATO!L13</f>
        <v>1443.8405678096512</v>
      </c>
      <c r="U12" s="29">
        <f t="shared" si="14"/>
        <v>0</v>
      </c>
      <c r="V12" s="148"/>
      <c r="W12" s="149" t="s">
        <v>210</v>
      </c>
      <c r="X12" s="150" t="s">
        <v>21</v>
      </c>
      <c r="Y12" s="149" t="s">
        <v>211</v>
      </c>
      <c r="Z12" s="149"/>
      <c r="AA12" s="149"/>
      <c r="AB12" s="151">
        <v>1237.2399999999998</v>
      </c>
      <c r="AC12" s="149">
        <v>2262.7600000000002</v>
      </c>
      <c r="AD12" s="151">
        <f t="shared" si="15"/>
        <v>3500</v>
      </c>
      <c r="AE12" s="151"/>
      <c r="AF12" s="151"/>
      <c r="AG12" s="151"/>
      <c r="AH12" s="152"/>
      <c r="AI12" s="134">
        <f t="shared" si="16"/>
        <v>3625.1205678096517</v>
      </c>
      <c r="AJ12" s="151"/>
      <c r="AK12" s="111"/>
      <c r="AL12" s="111"/>
      <c r="AM12" s="153"/>
      <c r="AN12" s="153">
        <v>2181.2800000000002</v>
      </c>
      <c r="AO12" s="134">
        <f t="shared" si="0"/>
        <v>1443.8405678096515</v>
      </c>
      <c r="AP12" s="111">
        <f t="shared" si="1"/>
        <v>0</v>
      </c>
      <c r="AQ12" s="134">
        <f t="shared" si="2"/>
        <v>1443.8405678096515</v>
      </c>
      <c r="AR12" s="111">
        <f t="shared" si="17"/>
        <v>362.51205678096517</v>
      </c>
      <c r="AS12" s="111">
        <f t="shared" si="3"/>
        <v>24.744799999999998</v>
      </c>
      <c r="AT12" s="134">
        <f t="shared" si="4"/>
        <v>4012.3774245906166</v>
      </c>
      <c r="AU12" s="113"/>
      <c r="BK12" s="55">
        <f t="shared" si="18"/>
        <v>3625.1205678096517</v>
      </c>
      <c r="BL12" s="29">
        <f t="shared" si="19"/>
        <v>362.51205678096517</v>
      </c>
      <c r="BM12" s="29">
        <f t="shared" si="20"/>
        <v>0</v>
      </c>
      <c r="BU12" s="50">
        <f t="shared" si="21"/>
        <v>3625.1205678096517</v>
      </c>
      <c r="BV12" s="50">
        <f>+'C&amp;A'!H13+SINDICATO!D13</f>
        <v>3625.1205678096512</v>
      </c>
      <c r="BW12" s="50">
        <f t="shared" si="22"/>
        <v>0</v>
      </c>
      <c r="BX12" s="55" t="s">
        <v>319</v>
      </c>
    </row>
    <row r="13" spans="1:76" s="28" customFormat="1" ht="15.75" hidden="1" x14ac:dyDescent="0.25">
      <c r="A13" s="27" t="s">
        <v>23</v>
      </c>
      <c r="B13" s="28" t="s">
        <v>24</v>
      </c>
      <c r="C13" s="29">
        <v>2250</v>
      </c>
      <c r="D13" s="29">
        <v>174.77873081324233</v>
      </c>
      <c r="E13" s="29">
        <f t="shared" si="5"/>
        <v>0</v>
      </c>
      <c r="F13" s="29"/>
      <c r="G13" s="29"/>
      <c r="H13" s="29">
        <f t="shared" si="6"/>
        <v>0</v>
      </c>
      <c r="I13" s="29"/>
      <c r="J13" s="29"/>
      <c r="K13" s="50"/>
      <c r="L13" s="29">
        <f t="shared" si="7"/>
        <v>902.31</v>
      </c>
      <c r="M13" s="29">
        <f t="shared" si="8"/>
        <v>0</v>
      </c>
      <c r="N13" s="29">
        <f t="shared" si="9"/>
        <v>1522.4687308132425</v>
      </c>
      <c r="O13" s="29">
        <f t="shared" si="10"/>
        <v>242.47787308132425</v>
      </c>
      <c r="P13" s="29">
        <f>+'C&amp;A'!D14*0.02</f>
        <v>21.911999999999999</v>
      </c>
      <c r="Q13" s="29">
        <f t="shared" si="11"/>
        <v>2689.1686038945663</v>
      </c>
      <c r="R13" s="29">
        <f t="shared" si="12"/>
        <v>430.26697662313063</v>
      </c>
      <c r="S13" s="29">
        <f t="shared" si="13"/>
        <v>3119.435580517697</v>
      </c>
      <c r="T13" s="62">
        <f>+'C&amp;A'!H14+SINDICATO!L14</f>
        <v>1522.4687308132425</v>
      </c>
      <c r="U13" s="29">
        <f t="shared" si="14"/>
        <v>0</v>
      </c>
      <c r="V13" s="148"/>
      <c r="W13" s="149" t="s">
        <v>128</v>
      </c>
      <c r="X13" s="150" t="s">
        <v>23</v>
      </c>
      <c r="Y13" s="149" t="s">
        <v>212</v>
      </c>
      <c r="Z13" s="149"/>
      <c r="AA13" s="149"/>
      <c r="AB13" s="151">
        <v>1237.2399999999998</v>
      </c>
      <c r="AC13" s="149">
        <v>1012.7600000000002</v>
      </c>
      <c r="AD13" s="151">
        <f t="shared" si="15"/>
        <v>2250</v>
      </c>
      <c r="AE13" s="151"/>
      <c r="AF13" s="151"/>
      <c r="AG13" s="151"/>
      <c r="AH13" s="152"/>
      <c r="AI13" s="134">
        <f t="shared" si="16"/>
        <v>2424.7787308132424</v>
      </c>
      <c r="AJ13" s="151"/>
      <c r="AK13" s="111"/>
      <c r="AL13" s="111"/>
      <c r="AM13" s="153"/>
      <c r="AN13" s="153">
        <v>902.31</v>
      </c>
      <c r="AO13" s="134">
        <f t="shared" si="0"/>
        <v>1522.4687308132425</v>
      </c>
      <c r="AP13" s="111">
        <f t="shared" si="1"/>
        <v>0</v>
      </c>
      <c r="AQ13" s="134">
        <f t="shared" si="2"/>
        <v>1522.4687308132425</v>
      </c>
      <c r="AR13" s="111">
        <f t="shared" si="17"/>
        <v>242.47787308132425</v>
      </c>
      <c r="AS13" s="111">
        <f t="shared" si="3"/>
        <v>24.744799999999998</v>
      </c>
      <c r="AT13" s="134">
        <f t="shared" si="4"/>
        <v>2692.0014038945665</v>
      </c>
      <c r="AU13" s="113"/>
      <c r="BK13" s="55">
        <f t="shared" si="18"/>
        <v>2424.7787308132424</v>
      </c>
      <c r="BL13" s="29">
        <f t="shared" si="19"/>
        <v>242.47787308132425</v>
      </c>
      <c r="BM13" s="29">
        <f t="shared" si="20"/>
        <v>0</v>
      </c>
      <c r="BU13" s="50">
        <f t="shared" si="21"/>
        <v>2424.7787308132424</v>
      </c>
      <c r="BV13" s="50">
        <f>+'C&amp;A'!H14+SINDICATO!D14</f>
        <v>2424.7787308132424</v>
      </c>
      <c r="BW13" s="50">
        <f t="shared" si="22"/>
        <v>0</v>
      </c>
      <c r="BX13" s="55" t="s">
        <v>319</v>
      </c>
    </row>
    <row r="14" spans="1:76" s="28" customFormat="1" ht="15.75" x14ac:dyDescent="0.25">
      <c r="A14" s="27" t="s">
        <v>25</v>
      </c>
      <c r="B14" s="28" t="s">
        <v>26</v>
      </c>
      <c r="C14" s="29">
        <v>2500</v>
      </c>
      <c r="D14" s="29">
        <v>160.37636329558455</v>
      </c>
      <c r="E14" s="29">
        <f t="shared" si="5"/>
        <v>0</v>
      </c>
      <c r="F14" s="29"/>
      <c r="G14" s="29"/>
      <c r="H14" s="29">
        <f t="shared" si="6"/>
        <v>0</v>
      </c>
      <c r="I14" s="29"/>
      <c r="J14" s="29"/>
      <c r="K14" s="50"/>
      <c r="L14" s="29">
        <f t="shared" si="7"/>
        <v>0</v>
      </c>
      <c r="M14" s="29">
        <f t="shared" si="8"/>
        <v>0</v>
      </c>
      <c r="N14" s="29">
        <f t="shared" si="9"/>
        <v>2660.3763632955847</v>
      </c>
      <c r="O14" s="29">
        <f t="shared" si="10"/>
        <v>266.0376363295585</v>
      </c>
      <c r="P14" s="29">
        <f>+'C&amp;A'!D15*0.02</f>
        <v>21.911999999999999</v>
      </c>
      <c r="Q14" s="29">
        <f t="shared" si="11"/>
        <v>2948.3259996251431</v>
      </c>
      <c r="R14" s="29">
        <f t="shared" si="12"/>
        <v>471.73215994002294</v>
      </c>
      <c r="S14" s="29">
        <f t="shared" si="13"/>
        <v>3420.0581595651661</v>
      </c>
      <c r="T14" s="62">
        <f>+'C&amp;A'!H15+SINDICATO!L15</f>
        <v>2660.3763632955847</v>
      </c>
      <c r="U14" s="29">
        <f t="shared" si="14"/>
        <v>0</v>
      </c>
      <c r="V14" s="148"/>
      <c r="W14" s="149" t="s">
        <v>214</v>
      </c>
      <c r="X14" s="149" t="s">
        <v>144</v>
      </c>
      <c r="Y14" s="149" t="s">
        <v>215</v>
      </c>
      <c r="Z14" s="149"/>
      <c r="AA14" s="149"/>
      <c r="AB14" s="151">
        <v>1237.2399999999998</v>
      </c>
      <c r="AC14" s="149">
        <v>1262.7600000000002</v>
      </c>
      <c r="AD14" s="151">
        <f t="shared" si="15"/>
        <v>2500</v>
      </c>
      <c r="AE14" s="151"/>
      <c r="AF14" s="151"/>
      <c r="AG14" s="151"/>
      <c r="AH14" s="152"/>
      <c r="AI14" s="134">
        <f t="shared" si="16"/>
        <v>2660.3763632955847</v>
      </c>
      <c r="AJ14" s="151"/>
      <c r="AK14" s="111"/>
      <c r="AL14" s="111"/>
      <c r="AM14" s="153"/>
      <c r="AN14" s="153">
        <v>0</v>
      </c>
      <c r="AO14" s="134">
        <f t="shared" si="0"/>
        <v>2660.3763632955847</v>
      </c>
      <c r="AP14" s="111">
        <f t="shared" si="1"/>
        <v>0</v>
      </c>
      <c r="AQ14" s="134">
        <f t="shared" si="2"/>
        <v>2660.3763632955847</v>
      </c>
      <c r="AR14" s="111">
        <f t="shared" si="17"/>
        <v>266.0376363295585</v>
      </c>
      <c r="AS14" s="111">
        <f t="shared" si="3"/>
        <v>24.744799999999998</v>
      </c>
      <c r="AT14" s="134">
        <f t="shared" si="4"/>
        <v>2951.1587996251433</v>
      </c>
      <c r="AU14" s="113"/>
      <c r="BK14" s="55">
        <f t="shared" si="18"/>
        <v>2660.3763632955847</v>
      </c>
      <c r="BL14" s="29">
        <f t="shared" si="19"/>
        <v>266.0376363295585</v>
      </c>
      <c r="BM14" s="29">
        <f t="shared" si="20"/>
        <v>0</v>
      </c>
      <c r="BU14" s="50">
        <f t="shared" si="21"/>
        <v>2660.3763632955847</v>
      </c>
      <c r="BV14" s="50">
        <f>+'C&amp;A'!H15+SINDICATO!D15</f>
        <v>2660.3763632955847</v>
      </c>
      <c r="BW14" s="50">
        <f t="shared" si="22"/>
        <v>0</v>
      </c>
      <c r="BX14" s="55" t="s">
        <v>317</v>
      </c>
    </row>
    <row r="15" spans="1:76" s="28" customFormat="1" ht="15.75" hidden="1" x14ac:dyDescent="0.25">
      <c r="A15" s="27" t="s">
        <v>27</v>
      </c>
      <c r="B15" s="28" t="s">
        <v>28</v>
      </c>
      <c r="C15" s="29">
        <v>2500</v>
      </c>
      <c r="D15" s="29">
        <v>160.37636329558455</v>
      </c>
      <c r="E15" s="29">
        <f t="shared" si="5"/>
        <v>0</v>
      </c>
      <c r="F15" s="29"/>
      <c r="G15" s="29"/>
      <c r="H15" s="29">
        <f t="shared" si="6"/>
        <v>0</v>
      </c>
      <c r="I15" s="29"/>
      <c r="J15" s="29"/>
      <c r="K15" s="50"/>
      <c r="L15" s="29">
        <f t="shared" si="7"/>
        <v>0</v>
      </c>
      <c r="M15" s="29">
        <f t="shared" si="8"/>
        <v>0</v>
      </c>
      <c r="N15" s="29">
        <f t="shared" si="9"/>
        <v>2660.3763632955847</v>
      </c>
      <c r="O15" s="29">
        <f t="shared" si="10"/>
        <v>266.0376363295585</v>
      </c>
      <c r="P15" s="29">
        <f>+'C&amp;A'!D16*0.02</f>
        <v>21.911999999999999</v>
      </c>
      <c r="Q15" s="29">
        <f t="shared" si="11"/>
        <v>2948.3259996251431</v>
      </c>
      <c r="R15" s="29">
        <f t="shared" si="12"/>
        <v>471.73215994002294</v>
      </c>
      <c r="S15" s="29">
        <f t="shared" si="13"/>
        <v>3420.0581595651661</v>
      </c>
      <c r="T15" s="62">
        <f>+'C&amp;A'!H16+SINDICATO!L16</f>
        <v>2660.3763632955847</v>
      </c>
      <c r="U15" s="29">
        <f t="shared" si="14"/>
        <v>0</v>
      </c>
      <c r="V15" s="148"/>
      <c r="W15" s="149" t="s">
        <v>216</v>
      </c>
      <c r="X15" s="150" t="s">
        <v>27</v>
      </c>
      <c r="Y15" s="149" t="s">
        <v>217</v>
      </c>
      <c r="Z15" s="149" t="s">
        <v>206</v>
      </c>
      <c r="AA15" s="149"/>
      <c r="AB15" s="151">
        <v>1237.2399999999998</v>
      </c>
      <c r="AC15" s="149">
        <v>1262.7600000000002</v>
      </c>
      <c r="AD15" s="151">
        <f t="shared" si="15"/>
        <v>2500</v>
      </c>
      <c r="AE15" s="151"/>
      <c r="AF15" s="151"/>
      <c r="AG15" s="151"/>
      <c r="AH15" s="152"/>
      <c r="AI15" s="134">
        <f t="shared" si="16"/>
        <v>2660.3763632955847</v>
      </c>
      <c r="AJ15" s="151"/>
      <c r="AK15" s="111"/>
      <c r="AL15" s="111"/>
      <c r="AM15" s="153"/>
      <c r="AN15" s="153"/>
      <c r="AO15" s="134">
        <f t="shared" si="0"/>
        <v>2660.3763632955847</v>
      </c>
      <c r="AP15" s="111">
        <f t="shared" si="1"/>
        <v>0</v>
      </c>
      <c r="AQ15" s="134">
        <f t="shared" si="2"/>
        <v>2660.3763632955847</v>
      </c>
      <c r="AR15" s="111">
        <f t="shared" si="17"/>
        <v>266.0376363295585</v>
      </c>
      <c r="AS15" s="111">
        <f t="shared" si="3"/>
        <v>24.744799999999998</v>
      </c>
      <c r="AT15" s="134">
        <f t="shared" si="4"/>
        <v>2951.1587996251433</v>
      </c>
      <c r="AU15" s="113"/>
      <c r="BK15" s="55">
        <f t="shared" si="18"/>
        <v>2660.3763632955847</v>
      </c>
      <c r="BL15" s="29">
        <f t="shared" si="19"/>
        <v>266.0376363295585</v>
      </c>
      <c r="BM15" s="29">
        <f t="shared" si="20"/>
        <v>0</v>
      </c>
      <c r="BU15" s="50">
        <f t="shared" si="21"/>
        <v>2660.3763632955847</v>
      </c>
      <c r="BV15" s="50">
        <f>+'C&amp;A'!H16+SINDICATO!D16</f>
        <v>2660.3763632955847</v>
      </c>
      <c r="BW15" s="50">
        <f t="shared" si="22"/>
        <v>0</v>
      </c>
      <c r="BX15" s="55" t="s">
        <v>319</v>
      </c>
    </row>
    <row r="16" spans="1:76" s="28" customFormat="1" ht="15.75" hidden="1" x14ac:dyDescent="0.25">
      <c r="A16" s="27" t="s">
        <v>29</v>
      </c>
      <c r="B16" s="28" t="s">
        <v>30</v>
      </c>
      <c r="C16" s="29">
        <v>6500</v>
      </c>
      <c r="D16" s="29">
        <v>0</v>
      </c>
      <c r="E16" s="29">
        <f t="shared" si="5"/>
        <v>0</v>
      </c>
      <c r="F16" s="29"/>
      <c r="G16" s="29"/>
      <c r="H16" s="29">
        <f t="shared" si="6"/>
        <v>0</v>
      </c>
      <c r="I16" s="29"/>
      <c r="J16" s="29"/>
      <c r="K16" s="50"/>
      <c r="L16" s="29">
        <f t="shared" si="7"/>
        <v>0</v>
      </c>
      <c r="M16" s="29">
        <f t="shared" si="8"/>
        <v>650</v>
      </c>
      <c r="N16" s="29">
        <f t="shared" si="9"/>
        <v>5850</v>
      </c>
      <c r="O16" s="29">
        <f t="shared" si="10"/>
        <v>0</v>
      </c>
      <c r="P16" s="29">
        <f>+'C&amp;A'!D17*0.02</f>
        <v>20.4512</v>
      </c>
      <c r="Q16" s="29">
        <f t="shared" si="11"/>
        <v>6520.4512000000004</v>
      </c>
      <c r="R16" s="29">
        <f t="shared" si="12"/>
        <v>1043.2721920000001</v>
      </c>
      <c r="S16" s="29">
        <f t="shared" si="13"/>
        <v>7563.7233920000008</v>
      </c>
      <c r="T16" s="62">
        <f>+'C&amp;A'!H17+SINDICATO!L17</f>
        <v>5850</v>
      </c>
      <c r="U16" s="29">
        <f t="shared" si="14"/>
        <v>0</v>
      </c>
      <c r="V16" s="148"/>
      <c r="W16" s="149" t="s">
        <v>129</v>
      </c>
      <c r="X16" s="150" t="s">
        <v>29</v>
      </c>
      <c r="Y16" s="149" t="s">
        <v>218</v>
      </c>
      <c r="Z16" s="149"/>
      <c r="AA16" s="149"/>
      <c r="AB16" s="151">
        <v>1237.2399999999998</v>
      </c>
      <c r="AC16" s="149">
        <v>5262.76</v>
      </c>
      <c r="AD16" s="151">
        <f t="shared" si="15"/>
        <v>6500</v>
      </c>
      <c r="AE16" s="151"/>
      <c r="AF16" s="151"/>
      <c r="AG16" s="151"/>
      <c r="AH16" s="152"/>
      <c r="AI16" s="134">
        <f t="shared" si="16"/>
        <v>6500</v>
      </c>
      <c r="AJ16" s="151"/>
      <c r="AK16" s="111"/>
      <c r="AL16" s="111"/>
      <c r="AM16" s="153"/>
      <c r="AN16" s="153">
        <v>0</v>
      </c>
      <c r="AO16" s="134">
        <f t="shared" si="0"/>
        <v>6500</v>
      </c>
      <c r="AP16" s="111">
        <f>IF(AI16&gt;4500,AI16*0.1,0)</f>
        <v>650</v>
      </c>
      <c r="AQ16" s="134">
        <f t="shared" si="2"/>
        <v>5850</v>
      </c>
      <c r="AR16" s="111">
        <f t="shared" si="17"/>
        <v>0</v>
      </c>
      <c r="AS16" s="111">
        <f t="shared" si="3"/>
        <v>24.744799999999998</v>
      </c>
      <c r="AT16" s="134">
        <f t="shared" si="4"/>
        <v>6524.7448000000004</v>
      </c>
      <c r="AU16" s="113"/>
      <c r="BK16" s="55">
        <f t="shared" si="18"/>
        <v>6500</v>
      </c>
      <c r="BL16" s="29">
        <f t="shared" si="19"/>
        <v>0</v>
      </c>
      <c r="BM16" s="29">
        <f t="shared" si="20"/>
        <v>650</v>
      </c>
      <c r="BU16" s="50">
        <f t="shared" si="21"/>
        <v>6500</v>
      </c>
      <c r="BV16" s="50">
        <f>+'C&amp;A'!H17+SINDICATO!D17</f>
        <v>6500</v>
      </c>
      <c r="BW16" s="50">
        <f t="shared" si="22"/>
        <v>0</v>
      </c>
      <c r="BX16" s="55" t="s">
        <v>319</v>
      </c>
    </row>
    <row r="17" spans="1:76" s="28" customFormat="1" ht="15.75" hidden="1" x14ac:dyDescent="0.25">
      <c r="A17" s="27" t="s">
        <v>33</v>
      </c>
      <c r="B17" s="28" t="s">
        <v>34</v>
      </c>
      <c r="C17" s="29">
        <v>1400</v>
      </c>
      <c r="D17" s="29">
        <v>200.73299727735468</v>
      </c>
      <c r="E17" s="29">
        <f t="shared" si="5"/>
        <v>0</v>
      </c>
      <c r="F17" s="29"/>
      <c r="G17" s="29"/>
      <c r="H17" s="29">
        <f t="shared" si="6"/>
        <v>0</v>
      </c>
      <c r="I17" s="29"/>
      <c r="J17" s="29"/>
      <c r="K17" s="50"/>
      <c r="L17" s="29">
        <f t="shared" si="7"/>
        <v>0</v>
      </c>
      <c r="M17" s="29">
        <f t="shared" si="8"/>
        <v>0</v>
      </c>
      <c r="N17" s="29">
        <f t="shared" si="9"/>
        <v>1600.7329972773546</v>
      </c>
      <c r="O17" s="29">
        <f t="shared" si="10"/>
        <v>160.07329972773547</v>
      </c>
      <c r="P17" s="29">
        <f>+'C&amp;A'!D18*0.02</f>
        <v>21.911999999999999</v>
      </c>
      <c r="Q17" s="29">
        <f t="shared" si="11"/>
        <v>1782.7182970050901</v>
      </c>
      <c r="R17" s="29">
        <f t="shared" si="12"/>
        <v>285.23492752081444</v>
      </c>
      <c r="S17" s="29">
        <f t="shared" si="13"/>
        <v>2067.9532245259047</v>
      </c>
      <c r="T17" s="62">
        <f>+'C&amp;A'!H18+SINDICATO!L18</f>
        <v>1600.7329972773546</v>
      </c>
      <c r="U17" s="29">
        <f t="shared" si="14"/>
        <v>0</v>
      </c>
      <c r="V17" s="148"/>
      <c r="W17" s="149" t="s">
        <v>219</v>
      </c>
      <c r="X17" s="150" t="s">
        <v>33</v>
      </c>
      <c r="Y17" s="149" t="s">
        <v>220</v>
      </c>
      <c r="Z17" s="149" t="s">
        <v>206</v>
      </c>
      <c r="AA17" s="149"/>
      <c r="AB17" s="151">
        <v>1237.2399999999998</v>
      </c>
      <c r="AC17" s="149">
        <v>162.76000000000022</v>
      </c>
      <c r="AD17" s="151">
        <f t="shared" si="15"/>
        <v>1400</v>
      </c>
      <c r="AE17" s="151"/>
      <c r="AF17" s="151"/>
      <c r="AG17" s="151"/>
      <c r="AH17" s="152"/>
      <c r="AI17" s="134">
        <f t="shared" si="16"/>
        <v>1600.7329972773546</v>
      </c>
      <c r="AJ17" s="151"/>
      <c r="AK17" s="111"/>
      <c r="AL17" s="111"/>
      <c r="AM17" s="153"/>
      <c r="AN17" s="153">
        <v>0</v>
      </c>
      <c r="AO17" s="134">
        <f t="shared" si="0"/>
        <v>1600.7329972773546</v>
      </c>
      <c r="AP17" s="111">
        <f t="shared" si="1"/>
        <v>0</v>
      </c>
      <c r="AQ17" s="134">
        <f t="shared" si="2"/>
        <v>1600.7329972773546</v>
      </c>
      <c r="AR17" s="111">
        <f t="shared" si="17"/>
        <v>160.07329972773547</v>
      </c>
      <c r="AS17" s="111">
        <f t="shared" si="3"/>
        <v>24.744799999999998</v>
      </c>
      <c r="AT17" s="134">
        <f t="shared" si="4"/>
        <v>1785.55109700509</v>
      </c>
      <c r="AU17" s="113"/>
      <c r="BK17" s="55">
        <f t="shared" si="18"/>
        <v>1600.7329972773546</v>
      </c>
      <c r="BL17" s="29">
        <f t="shared" si="19"/>
        <v>160.07329972773547</v>
      </c>
      <c r="BM17" s="29">
        <f t="shared" si="20"/>
        <v>0</v>
      </c>
      <c r="BU17" s="50">
        <f t="shared" si="21"/>
        <v>1600.7329972773546</v>
      </c>
      <c r="BV17" s="50">
        <f>+'C&amp;A'!H18+SINDICATO!D18</f>
        <v>1600.7329972773546</v>
      </c>
      <c r="BW17" s="50">
        <f t="shared" si="22"/>
        <v>0</v>
      </c>
      <c r="BX17" s="55" t="s">
        <v>320</v>
      </c>
    </row>
    <row r="18" spans="1:76" s="28" customFormat="1" ht="15.75" hidden="1" x14ac:dyDescent="0.25">
      <c r="A18" s="27" t="s">
        <v>35</v>
      </c>
      <c r="B18" s="28" t="s">
        <v>36</v>
      </c>
      <c r="C18" s="29">
        <v>1400</v>
      </c>
      <c r="D18" s="29">
        <v>200.73299727735468</v>
      </c>
      <c r="E18" s="29">
        <f t="shared" si="5"/>
        <v>0</v>
      </c>
      <c r="F18" s="29"/>
      <c r="G18" s="29"/>
      <c r="H18" s="29">
        <f t="shared" si="6"/>
        <v>0</v>
      </c>
      <c r="I18" s="29"/>
      <c r="J18" s="29"/>
      <c r="K18" s="50"/>
      <c r="L18" s="29">
        <f t="shared" si="7"/>
        <v>0</v>
      </c>
      <c r="M18" s="29">
        <f t="shared" si="8"/>
        <v>0</v>
      </c>
      <c r="N18" s="29">
        <f t="shared" si="9"/>
        <v>1600.7329972773546</v>
      </c>
      <c r="O18" s="29">
        <f t="shared" si="10"/>
        <v>160.07329972773547</v>
      </c>
      <c r="P18" s="29">
        <f>+'C&amp;A'!D19*0.02</f>
        <v>21.911999999999999</v>
      </c>
      <c r="Q18" s="29">
        <f t="shared" si="11"/>
        <v>1782.7182970050901</v>
      </c>
      <c r="R18" s="29">
        <f t="shared" si="12"/>
        <v>285.23492752081444</v>
      </c>
      <c r="S18" s="29">
        <f t="shared" si="13"/>
        <v>2067.9532245259047</v>
      </c>
      <c r="T18" s="62">
        <f>+'C&amp;A'!H19+SINDICATO!L19</f>
        <v>1600.7329972773546</v>
      </c>
      <c r="U18" s="29">
        <f t="shared" si="14"/>
        <v>0</v>
      </c>
      <c r="V18" s="148"/>
      <c r="W18" s="149" t="s">
        <v>221</v>
      </c>
      <c r="X18" s="150" t="s">
        <v>35</v>
      </c>
      <c r="Y18" s="149" t="s">
        <v>220</v>
      </c>
      <c r="Z18" s="149"/>
      <c r="AA18" s="149"/>
      <c r="AB18" s="151">
        <v>1237.2399999999998</v>
      </c>
      <c r="AC18" s="149">
        <v>162.76000000000022</v>
      </c>
      <c r="AD18" s="151">
        <f t="shared" si="15"/>
        <v>1400</v>
      </c>
      <c r="AE18" s="151"/>
      <c r="AF18" s="151"/>
      <c r="AG18" s="151"/>
      <c r="AH18" s="152"/>
      <c r="AI18" s="134">
        <f t="shared" si="16"/>
        <v>1600.7329972773546</v>
      </c>
      <c r="AJ18" s="151"/>
      <c r="AK18" s="111"/>
      <c r="AL18" s="111"/>
      <c r="AM18" s="153"/>
      <c r="AN18" s="153">
        <v>0</v>
      </c>
      <c r="AO18" s="134">
        <f t="shared" si="0"/>
        <v>1600.7329972773546</v>
      </c>
      <c r="AP18" s="111">
        <f t="shared" si="1"/>
        <v>0</v>
      </c>
      <c r="AQ18" s="134">
        <f t="shared" si="2"/>
        <v>1600.7329972773546</v>
      </c>
      <c r="AR18" s="111">
        <f t="shared" si="17"/>
        <v>160.07329972773547</v>
      </c>
      <c r="AS18" s="111">
        <f t="shared" si="3"/>
        <v>24.744799999999998</v>
      </c>
      <c r="AT18" s="134">
        <f t="shared" si="4"/>
        <v>1785.55109700509</v>
      </c>
      <c r="AU18" s="113"/>
      <c r="BK18" s="55">
        <f t="shared" si="18"/>
        <v>1600.7329972773546</v>
      </c>
      <c r="BL18" s="29">
        <f t="shared" si="19"/>
        <v>160.07329972773547</v>
      </c>
      <c r="BM18" s="29">
        <f t="shared" si="20"/>
        <v>0</v>
      </c>
      <c r="BU18" s="50">
        <f t="shared" si="21"/>
        <v>1600.7329972773546</v>
      </c>
      <c r="BV18" s="50">
        <f>+'C&amp;A'!H19+SINDICATO!D19</f>
        <v>1600.7329972773546</v>
      </c>
      <c r="BW18" s="50">
        <f t="shared" si="22"/>
        <v>0</v>
      </c>
      <c r="BX18" s="55" t="s">
        <v>318</v>
      </c>
    </row>
    <row r="19" spans="1:76" s="28" customFormat="1" ht="15.75" hidden="1" x14ac:dyDescent="0.25">
      <c r="A19" s="27" t="s">
        <v>37</v>
      </c>
      <c r="B19" s="28" t="s">
        <v>38</v>
      </c>
      <c r="C19" s="29">
        <v>2500</v>
      </c>
      <c r="D19" s="29">
        <v>160.37636329558455</v>
      </c>
      <c r="E19" s="29">
        <f t="shared" si="5"/>
        <v>0</v>
      </c>
      <c r="F19" s="29">
        <f>+(C19/15)*4</f>
        <v>666.66666666666663</v>
      </c>
      <c r="G19" s="29">
        <f>+((C19/15)/8)*12*2</f>
        <v>500</v>
      </c>
      <c r="H19" s="29">
        <f t="shared" si="6"/>
        <v>0</v>
      </c>
      <c r="I19" s="29"/>
      <c r="J19" s="29"/>
      <c r="K19" s="50"/>
      <c r="L19" s="29">
        <f t="shared" si="7"/>
        <v>1551.8</v>
      </c>
      <c r="M19" s="29">
        <f t="shared" si="8"/>
        <v>0</v>
      </c>
      <c r="N19" s="29">
        <f>+C19+D19+E19+F19-H19-J19+K19-L19-M19+G19-I19</f>
        <v>2275.2430299622511</v>
      </c>
      <c r="O19" s="29">
        <f t="shared" si="10"/>
        <v>382.70430299622512</v>
      </c>
      <c r="P19" s="29">
        <f>+'C&amp;A'!D20*0.02</f>
        <v>13.1472</v>
      </c>
      <c r="Q19" s="29">
        <f t="shared" si="11"/>
        <v>4222.8945329584767</v>
      </c>
      <c r="R19" s="29">
        <f t="shared" si="12"/>
        <v>675.66312527335629</v>
      </c>
      <c r="S19" s="29">
        <f t="shared" si="13"/>
        <v>4898.5576582318326</v>
      </c>
      <c r="T19" s="62">
        <f>+'C&amp;A'!H20+SINDICATO!L20</f>
        <v>2275.2430299622511</v>
      </c>
      <c r="U19" s="29">
        <f t="shared" si="14"/>
        <v>0</v>
      </c>
      <c r="V19" s="148"/>
      <c r="W19" s="149" t="s">
        <v>130</v>
      </c>
      <c r="X19" s="150" t="s">
        <v>37</v>
      </c>
      <c r="Y19" s="149" t="s">
        <v>222</v>
      </c>
      <c r="Z19" s="149" t="s">
        <v>206</v>
      </c>
      <c r="AA19" s="149"/>
      <c r="AB19" s="151">
        <v>1237.2399999999998</v>
      </c>
      <c r="AC19" s="149">
        <v>1262.7600000000002</v>
      </c>
      <c r="AD19" s="151">
        <f t="shared" si="15"/>
        <v>2500</v>
      </c>
      <c r="AE19" s="151"/>
      <c r="AF19" s="151"/>
      <c r="AG19" s="151"/>
      <c r="AH19" s="152"/>
      <c r="AI19" s="134">
        <f t="shared" si="16"/>
        <v>2660.3763632955847</v>
      </c>
      <c r="AJ19" s="151"/>
      <c r="AK19" s="111"/>
      <c r="AL19" s="111"/>
      <c r="AM19" s="153"/>
      <c r="AN19" s="153">
        <v>1551.8</v>
      </c>
      <c r="AO19" s="134">
        <f t="shared" si="0"/>
        <v>1108.5763632955848</v>
      </c>
      <c r="AP19" s="111">
        <f t="shared" si="1"/>
        <v>0</v>
      </c>
      <c r="AQ19" s="134">
        <f t="shared" si="2"/>
        <v>1108.5763632955848</v>
      </c>
      <c r="AR19" s="111">
        <f t="shared" si="17"/>
        <v>266.0376363295585</v>
      </c>
      <c r="AS19" s="111">
        <f t="shared" si="3"/>
        <v>24.744799999999998</v>
      </c>
      <c r="AT19" s="134">
        <f t="shared" si="4"/>
        <v>2951.1587996251433</v>
      </c>
      <c r="AU19" s="101" t="s">
        <v>209</v>
      </c>
      <c r="BK19" s="55">
        <f t="shared" si="18"/>
        <v>3827.0430299622512</v>
      </c>
      <c r="BL19" s="29">
        <f t="shared" si="19"/>
        <v>382.70430299622512</v>
      </c>
      <c r="BM19" s="29">
        <f t="shared" si="20"/>
        <v>0</v>
      </c>
      <c r="BU19" s="50">
        <f t="shared" si="21"/>
        <v>3827.0430299622512</v>
      </c>
      <c r="BV19" s="50">
        <f>+'C&amp;A'!H20+SINDICATO!D20</f>
        <v>3827.0430299622512</v>
      </c>
      <c r="BW19" s="50">
        <f t="shared" si="22"/>
        <v>0</v>
      </c>
      <c r="BX19" s="55" t="s">
        <v>318</v>
      </c>
    </row>
    <row r="20" spans="1:76" s="28" customFormat="1" ht="15.75" hidden="1" x14ac:dyDescent="0.25">
      <c r="A20" s="27" t="s">
        <v>39</v>
      </c>
      <c r="B20" s="28" t="s">
        <v>40</v>
      </c>
      <c r="C20" s="29">
        <v>2750</v>
      </c>
      <c r="D20" s="29">
        <v>145.37389713135775</v>
      </c>
      <c r="E20" s="29">
        <f t="shared" si="5"/>
        <v>0</v>
      </c>
      <c r="F20" s="29"/>
      <c r="G20" s="29"/>
      <c r="H20" s="29">
        <f t="shared" si="6"/>
        <v>0</v>
      </c>
      <c r="I20" s="29"/>
      <c r="J20" s="29">
        <f>+C20/15</f>
        <v>183.33333333333334</v>
      </c>
      <c r="K20" s="50"/>
      <c r="L20" s="29">
        <f t="shared" si="7"/>
        <v>0</v>
      </c>
      <c r="M20" s="29">
        <f t="shared" si="8"/>
        <v>0</v>
      </c>
      <c r="N20" s="29">
        <f t="shared" si="9"/>
        <v>2712.0405637980243</v>
      </c>
      <c r="O20" s="29">
        <f t="shared" si="10"/>
        <v>289.53738971313578</v>
      </c>
      <c r="P20" s="29">
        <f>+'C&amp;A'!D21*0.02</f>
        <v>21.911999999999999</v>
      </c>
      <c r="Q20" s="29">
        <f t="shared" si="11"/>
        <v>3023.4899535111599</v>
      </c>
      <c r="R20" s="29">
        <f t="shared" si="12"/>
        <v>483.75839256178557</v>
      </c>
      <c r="S20" s="29">
        <f t="shared" si="13"/>
        <v>3507.2483460729454</v>
      </c>
      <c r="T20" s="62">
        <f>+'C&amp;A'!H21+SINDICATO!L21</f>
        <v>2712.0405637980248</v>
      </c>
      <c r="U20" s="29">
        <f t="shared" si="14"/>
        <v>0</v>
      </c>
      <c r="V20" s="148"/>
      <c r="W20" s="149" t="s">
        <v>223</v>
      </c>
      <c r="X20" s="150" t="s">
        <v>39</v>
      </c>
      <c r="Y20" s="149" t="s">
        <v>224</v>
      </c>
      <c r="Z20" s="149"/>
      <c r="AA20" s="149"/>
      <c r="AB20" s="151">
        <v>1237.2399999999998</v>
      </c>
      <c r="AC20" s="149">
        <v>1512.7600000000002</v>
      </c>
      <c r="AD20" s="151">
        <f t="shared" si="15"/>
        <v>2750</v>
      </c>
      <c r="AE20" s="151"/>
      <c r="AF20" s="151"/>
      <c r="AG20" s="151"/>
      <c r="AH20" s="152"/>
      <c r="AI20" s="134">
        <f t="shared" si="16"/>
        <v>2895.3738971313578</v>
      </c>
      <c r="AJ20" s="151"/>
      <c r="AK20" s="111"/>
      <c r="AL20" s="111"/>
      <c r="AM20" s="153"/>
      <c r="AN20" s="153">
        <v>0</v>
      </c>
      <c r="AO20" s="134">
        <f t="shared" si="0"/>
        <v>2895.3738971313578</v>
      </c>
      <c r="AP20" s="111">
        <f t="shared" si="1"/>
        <v>0</v>
      </c>
      <c r="AQ20" s="134">
        <f t="shared" si="2"/>
        <v>2895.3738971313578</v>
      </c>
      <c r="AR20" s="111">
        <f t="shared" si="17"/>
        <v>289.53738971313578</v>
      </c>
      <c r="AS20" s="111">
        <f t="shared" si="3"/>
        <v>24.744799999999998</v>
      </c>
      <c r="AT20" s="134">
        <f t="shared" si="4"/>
        <v>3209.6560868444935</v>
      </c>
      <c r="AU20" s="154" t="s">
        <v>225</v>
      </c>
      <c r="BK20" s="55">
        <f t="shared" si="18"/>
        <v>2895.3738971313578</v>
      </c>
      <c r="BL20" s="29">
        <f t="shared" si="19"/>
        <v>289.53738971313578</v>
      </c>
      <c r="BM20" s="29">
        <f t="shared" si="20"/>
        <v>0</v>
      </c>
      <c r="BU20" s="50">
        <f t="shared" si="21"/>
        <v>2895.3738971313578</v>
      </c>
      <c r="BV20" s="50">
        <f>+'C&amp;A'!H21+SINDICATO!D21</f>
        <v>2895.3738971313578</v>
      </c>
      <c r="BW20" s="50">
        <f t="shared" si="22"/>
        <v>0</v>
      </c>
      <c r="BX20" s="55" t="s">
        <v>319</v>
      </c>
    </row>
    <row r="21" spans="1:76" s="28" customFormat="1" ht="15.75" hidden="1" x14ac:dyDescent="0.25">
      <c r="A21" s="27" t="s">
        <v>41</v>
      </c>
      <c r="B21" s="28" t="s">
        <v>42</v>
      </c>
      <c r="C21" s="29">
        <v>2500</v>
      </c>
      <c r="D21" s="29">
        <v>160.37636329558455</v>
      </c>
      <c r="E21" s="29">
        <f t="shared" si="5"/>
        <v>0</v>
      </c>
      <c r="F21" s="29"/>
      <c r="G21" s="29"/>
      <c r="H21" s="29">
        <f t="shared" si="6"/>
        <v>177.91</v>
      </c>
      <c r="I21" s="29"/>
      <c r="J21" s="29"/>
      <c r="K21" s="50"/>
      <c r="L21" s="29">
        <f t="shared" si="7"/>
        <v>0</v>
      </c>
      <c r="M21" s="29">
        <f t="shared" si="8"/>
        <v>0</v>
      </c>
      <c r="N21" s="29">
        <f t="shared" si="9"/>
        <v>2482.4663632955849</v>
      </c>
      <c r="O21" s="29">
        <f t="shared" si="10"/>
        <v>248.2466363295585</v>
      </c>
      <c r="P21" s="29">
        <f>+'C&amp;A'!D22*0.02</f>
        <v>21.911999999999999</v>
      </c>
      <c r="Q21" s="29">
        <f t="shared" si="11"/>
        <v>2752.6249996251431</v>
      </c>
      <c r="R21" s="29">
        <f t="shared" si="12"/>
        <v>440.41999994002293</v>
      </c>
      <c r="S21" s="29">
        <f t="shared" si="13"/>
        <v>3193.0449995651661</v>
      </c>
      <c r="T21" s="62">
        <f>+'C&amp;A'!H22+SINDICATO!L22</f>
        <v>2482.4663632955844</v>
      </c>
      <c r="U21" s="29">
        <f t="shared" si="14"/>
        <v>0</v>
      </c>
      <c r="V21" s="148"/>
      <c r="W21" s="149" t="s">
        <v>226</v>
      </c>
      <c r="X21" s="150" t="s">
        <v>41</v>
      </c>
      <c r="Y21" s="149" t="s">
        <v>217</v>
      </c>
      <c r="Z21" s="149" t="s">
        <v>206</v>
      </c>
      <c r="AA21" s="149"/>
      <c r="AB21" s="151">
        <v>1237.2399999999998</v>
      </c>
      <c r="AC21" s="149">
        <v>1262.7600000000002</v>
      </c>
      <c r="AD21" s="151">
        <f t="shared" si="15"/>
        <v>2500</v>
      </c>
      <c r="AE21" s="151"/>
      <c r="AF21" s="155"/>
      <c r="AG21" s="151"/>
      <c r="AH21" s="152"/>
      <c r="AI21" s="134">
        <f t="shared" si="16"/>
        <v>2660.3763632955847</v>
      </c>
      <c r="AJ21" s="151"/>
      <c r="AK21" s="111"/>
      <c r="AL21" s="111"/>
      <c r="AM21" s="153">
        <v>177.91</v>
      </c>
      <c r="AN21" s="153">
        <v>0</v>
      </c>
      <c r="AO21" s="134">
        <f t="shared" si="0"/>
        <v>2482.4663632955849</v>
      </c>
      <c r="AP21" s="111">
        <f t="shared" si="1"/>
        <v>0</v>
      </c>
      <c r="AQ21" s="134">
        <f t="shared" si="2"/>
        <v>2482.4663632955849</v>
      </c>
      <c r="AR21" s="111">
        <f t="shared" si="17"/>
        <v>266.0376363295585</v>
      </c>
      <c r="AS21" s="111">
        <f t="shared" si="3"/>
        <v>24.744799999999998</v>
      </c>
      <c r="AT21" s="134">
        <f t="shared" si="4"/>
        <v>2951.1587996251433</v>
      </c>
      <c r="AU21" s="113"/>
      <c r="BK21" s="55">
        <f t="shared" si="18"/>
        <v>2482.4663632955849</v>
      </c>
      <c r="BL21" s="29">
        <f t="shared" si="19"/>
        <v>248.2466363295585</v>
      </c>
      <c r="BM21" s="29">
        <f t="shared" si="20"/>
        <v>0</v>
      </c>
      <c r="BU21" s="50">
        <f t="shared" si="21"/>
        <v>2660.3763632955847</v>
      </c>
      <c r="BV21" s="50">
        <f>+'C&amp;A'!H22+SINDICATO!D22</f>
        <v>2660.3763632955847</v>
      </c>
      <c r="BW21" s="50">
        <f t="shared" si="22"/>
        <v>0</v>
      </c>
      <c r="BX21" s="55" t="s">
        <v>319</v>
      </c>
    </row>
    <row r="22" spans="1:76" s="28" customFormat="1" ht="15.75" hidden="1" x14ac:dyDescent="0.25">
      <c r="A22" s="27" t="s">
        <v>43</v>
      </c>
      <c r="B22" s="28" t="s">
        <v>44</v>
      </c>
      <c r="C22" s="29">
        <v>7500</v>
      </c>
      <c r="D22" s="29">
        <v>0</v>
      </c>
      <c r="E22" s="29">
        <f t="shared" si="5"/>
        <v>0</v>
      </c>
      <c r="F22" s="29"/>
      <c r="G22" s="29"/>
      <c r="H22" s="29">
        <f t="shared" si="6"/>
        <v>0</v>
      </c>
      <c r="I22" s="29"/>
      <c r="J22" s="29"/>
      <c r="K22" s="50"/>
      <c r="L22" s="29">
        <f t="shared" si="7"/>
        <v>0</v>
      </c>
      <c r="M22" s="29">
        <f t="shared" si="8"/>
        <v>750</v>
      </c>
      <c r="N22" s="29">
        <f>+C22+D22+E22+F22-H22-J22+K22-L22-M22+G22-I22</f>
        <v>6750</v>
      </c>
      <c r="O22" s="29">
        <f t="shared" si="10"/>
        <v>0</v>
      </c>
      <c r="P22" s="29">
        <f>+'C&amp;A'!D23*0.02</f>
        <v>21.911999999999999</v>
      </c>
      <c r="Q22" s="29">
        <f t="shared" si="11"/>
        <v>7521.9120000000003</v>
      </c>
      <c r="R22" s="29">
        <f t="shared" si="12"/>
        <v>1203.5059200000001</v>
      </c>
      <c r="S22" s="29">
        <f t="shared" si="13"/>
        <v>8725.4179199999999</v>
      </c>
      <c r="T22" s="62">
        <f>+'C&amp;A'!H23+SINDICATO!L23</f>
        <v>6750</v>
      </c>
      <c r="U22" s="29">
        <f t="shared" si="14"/>
        <v>0</v>
      </c>
      <c r="V22" s="148"/>
      <c r="W22" s="149" t="s">
        <v>227</v>
      </c>
      <c r="X22" s="149" t="s">
        <v>43</v>
      </c>
      <c r="Y22" s="149" t="s">
        <v>228</v>
      </c>
      <c r="Z22" s="149"/>
      <c r="AA22" s="149"/>
      <c r="AB22" s="151">
        <v>1237.2399999999998</v>
      </c>
      <c r="AC22" s="149">
        <v>6262.76</v>
      </c>
      <c r="AD22" s="151">
        <f t="shared" si="15"/>
        <v>7500</v>
      </c>
      <c r="AE22" s="151"/>
      <c r="AF22" s="151"/>
      <c r="AG22" s="151"/>
      <c r="AH22" s="152"/>
      <c r="AI22" s="134">
        <f t="shared" si="16"/>
        <v>7500</v>
      </c>
      <c r="AJ22" s="151"/>
      <c r="AK22" s="111"/>
      <c r="AL22" s="111"/>
      <c r="AM22" s="153"/>
      <c r="AN22" s="153">
        <v>0</v>
      </c>
      <c r="AO22" s="134">
        <f t="shared" si="0"/>
        <v>7500</v>
      </c>
      <c r="AP22" s="111">
        <f>IF(AI22&gt;4500,AI22*0.1,0)</f>
        <v>750</v>
      </c>
      <c r="AQ22" s="134">
        <f t="shared" si="2"/>
        <v>6750</v>
      </c>
      <c r="AR22" s="111">
        <f t="shared" si="17"/>
        <v>0</v>
      </c>
      <c r="AS22" s="111">
        <f>AB22*0.02</f>
        <v>24.744799999999998</v>
      </c>
      <c r="AT22" s="134">
        <f>+AI22+AR22+AS22</f>
        <v>7524.7448000000004</v>
      </c>
      <c r="AU22" s="113"/>
      <c r="BK22" s="55">
        <f t="shared" si="18"/>
        <v>7500</v>
      </c>
      <c r="BL22" s="29">
        <f t="shared" si="19"/>
        <v>0</v>
      </c>
      <c r="BM22" s="29">
        <f t="shared" si="20"/>
        <v>750</v>
      </c>
      <c r="BU22" s="50">
        <f t="shared" si="21"/>
        <v>7500</v>
      </c>
      <c r="BV22" s="50">
        <f>+'C&amp;A'!H23+SINDICATO!D23</f>
        <v>7500</v>
      </c>
      <c r="BW22" s="50">
        <f t="shared" si="22"/>
        <v>0</v>
      </c>
      <c r="BX22" s="55" t="s">
        <v>320</v>
      </c>
    </row>
    <row r="23" spans="1:76" s="28" customFormat="1" ht="15.75" hidden="1" x14ac:dyDescent="0.25">
      <c r="A23" s="27" t="s">
        <v>45</v>
      </c>
      <c r="B23" s="28" t="s">
        <v>46</v>
      </c>
      <c r="C23" s="29">
        <v>1200</v>
      </c>
      <c r="D23" s="29">
        <v>0</v>
      </c>
      <c r="E23" s="29">
        <f t="shared" si="5"/>
        <v>2452.85</v>
      </c>
      <c r="F23" s="29"/>
      <c r="G23" s="29"/>
      <c r="H23" s="29">
        <f t="shared" si="6"/>
        <v>0</v>
      </c>
      <c r="I23" s="29"/>
      <c r="J23" s="29"/>
      <c r="K23" s="50"/>
      <c r="L23" s="29">
        <f t="shared" si="7"/>
        <v>0</v>
      </c>
      <c r="M23" s="29">
        <f t="shared" si="8"/>
        <v>0</v>
      </c>
      <c r="N23" s="29">
        <f t="shared" si="9"/>
        <v>3652.85</v>
      </c>
      <c r="O23" s="29">
        <f t="shared" si="10"/>
        <v>365.28500000000003</v>
      </c>
      <c r="P23" s="29">
        <f>+'C&amp;A'!D24*0.02</f>
        <v>21.911999999999999</v>
      </c>
      <c r="Q23" s="29">
        <f t="shared" si="11"/>
        <v>4040.0469999999996</v>
      </c>
      <c r="R23" s="29">
        <f t="shared" si="12"/>
        <v>646.40751999999998</v>
      </c>
      <c r="S23" s="29">
        <f t="shared" si="13"/>
        <v>4686.4545199999993</v>
      </c>
      <c r="T23" s="62">
        <f>+'C&amp;A'!H24+SINDICATO!L24</f>
        <v>3637.8499999999995</v>
      </c>
      <c r="U23" s="29">
        <f t="shared" si="14"/>
        <v>-15.000000000000455</v>
      </c>
      <c r="V23" s="148"/>
      <c r="W23" s="149" t="s">
        <v>139</v>
      </c>
      <c r="X23" s="150" t="s">
        <v>45</v>
      </c>
      <c r="Y23" s="149" t="s">
        <v>229</v>
      </c>
      <c r="Z23" s="149"/>
      <c r="AA23" s="149"/>
      <c r="AB23" s="151">
        <v>1237.2399999999998</v>
      </c>
      <c r="AC23" s="149">
        <v>-37.239999999999782</v>
      </c>
      <c r="AD23" s="151">
        <f t="shared" si="15"/>
        <v>1200</v>
      </c>
      <c r="AE23" s="151">
        <v>2452.85</v>
      </c>
      <c r="AF23" s="151"/>
      <c r="AG23" s="151"/>
      <c r="AH23" s="152"/>
      <c r="AI23" s="134">
        <f t="shared" si="16"/>
        <v>3652.85</v>
      </c>
      <c r="AJ23" s="151"/>
      <c r="AK23" s="111"/>
      <c r="AL23" s="111"/>
      <c r="AM23" s="153"/>
      <c r="AN23" s="153">
        <v>0</v>
      </c>
      <c r="AO23" s="134">
        <f t="shared" si="0"/>
        <v>3652.85</v>
      </c>
      <c r="AP23" s="111">
        <f t="shared" si="1"/>
        <v>0</v>
      </c>
      <c r="AQ23" s="134">
        <f t="shared" si="2"/>
        <v>3652.85</v>
      </c>
      <c r="AR23" s="111">
        <f t="shared" si="17"/>
        <v>365.28500000000003</v>
      </c>
      <c r="AS23" s="111">
        <f t="shared" si="3"/>
        <v>24.744799999999998</v>
      </c>
      <c r="AT23" s="134">
        <f t="shared" si="4"/>
        <v>4042.8797999999997</v>
      </c>
      <c r="AU23" s="113"/>
      <c r="BK23" s="55">
        <f t="shared" si="18"/>
        <v>3652.85</v>
      </c>
      <c r="BL23" s="29">
        <f t="shared" si="19"/>
        <v>365.28500000000003</v>
      </c>
      <c r="BM23" s="29">
        <f t="shared" si="20"/>
        <v>0</v>
      </c>
      <c r="BU23" s="50">
        <f t="shared" si="21"/>
        <v>3652.85</v>
      </c>
      <c r="BV23" s="50">
        <f>+'C&amp;A'!H24+SINDICATO!D24</f>
        <v>3652.8499999999995</v>
      </c>
      <c r="BW23" s="50">
        <f t="shared" si="22"/>
        <v>0</v>
      </c>
      <c r="BX23" s="55" t="s">
        <v>318</v>
      </c>
    </row>
    <row r="24" spans="1:76" s="28" customFormat="1" ht="15.75" hidden="1" x14ac:dyDescent="0.25">
      <c r="A24" s="75" t="s">
        <v>163</v>
      </c>
      <c r="B24" s="28" t="s">
        <v>158</v>
      </c>
      <c r="C24" s="29">
        <v>2500</v>
      </c>
      <c r="D24" s="29">
        <v>160.37636329558455</v>
      </c>
      <c r="E24" s="29">
        <f t="shared" si="5"/>
        <v>0</v>
      </c>
      <c r="F24" s="29"/>
      <c r="G24" s="29"/>
      <c r="H24" s="29">
        <f t="shared" si="6"/>
        <v>0</v>
      </c>
      <c r="I24" s="29"/>
      <c r="J24" s="29"/>
      <c r="K24" s="50"/>
      <c r="L24" s="29">
        <f t="shared" si="7"/>
        <v>0</v>
      </c>
      <c r="M24" s="29">
        <f t="shared" si="8"/>
        <v>0</v>
      </c>
      <c r="N24" s="29">
        <f t="shared" si="9"/>
        <v>2660.3763632955847</v>
      </c>
      <c r="O24" s="29">
        <f t="shared" si="10"/>
        <v>266.0376363295585</v>
      </c>
      <c r="P24" s="29">
        <f>+'C&amp;A'!D25*0.02</f>
        <v>21.911999999999999</v>
      </c>
      <c r="Q24" s="29">
        <f t="shared" si="11"/>
        <v>2948.3259996251431</v>
      </c>
      <c r="R24" s="29">
        <f t="shared" si="12"/>
        <v>471.73215994002294</v>
      </c>
      <c r="S24" s="29">
        <f t="shared" si="13"/>
        <v>3420.0581595651661</v>
      </c>
      <c r="T24" s="62">
        <f>+'C&amp;A'!H25+SINDICATO!L25</f>
        <v>2642.8963632955847</v>
      </c>
      <c r="U24" s="29">
        <f t="shared" si="14"/>
        <v>-17.480000000000018</v>
      </c>
      <c r="V24" s="148"/>
      <c r="W24" s="149" t="s">
        <v>230</v>
      </c>
      <c r="X24" s="150" t="s">
        <v>163</v>
      </c>
      <c r="Y24" s="149" t="s">
        <v>231</v>
      </c>
      <c r="Z24" s="149"/>
      <c r="AA24" s="149"/>
      <c r="AB24" s="151">
        <v>1237.24</v>
      </c>
      <c r="AC24" s="149">
        <v>1262.76</v>
      </c>
      <c r="AD24" s="151">
        <f t="shared" si="15"/>
        <v>2500</v>
      </c>
      <c r="AE24" s="151"/>
      <c r="AF24" s="151"/>
      <c r="AG24" s="151"/>
      <c r="AH24" s="152"/>
      <c r="AI24" s="134">
        <f t="shared" si="16"/>
        <v>2660.3763632955847</v>
      </c>
      <c r="AJ24" s="151"/>
      <c r="AK24" s="111"/>
      <c r="AL24" s="111"/>
      <c r="AM24" s="153"/>
      <c r="AN24" s="153">
        <v>0</v>
      </c>
      <c r="AO24" s="134">
        <f t="shared" si="0"/>
        <v>2660.3763632955847</v>
      </c>
      <c r="AP24" s="111">
        <f t="shared" si="1"/>
        <v>0</v>
      </c>
      <c r="AQ24" s="134">
        <f t="shared" si="2"/>
        <v>2660.3763632955847</v>
      </c>
      <c r="AR24" s="111">
        <f t="shared" si="17"/>
        <v>266.0376363295585</v>
      </c>
      <c r="AS24" s="111">
        <f t="shared" si="3"/>
        <v>24.744800000000001</v>
      </c>
      <c r="AT24" s="134">
        <f t="shared" si="4"/>
        <v>2951.1587996251433</v>
      </c>
      <c r="AU24" s="113"/>
      <c r="BK24" s="55">
        <f t="shared" si="18"/>
        <v>2660.3763632955847</v>
      </c>
      <c r="BL24" s="29">
        <f t="shared" si="19"/>
        <v>266.0376363295585</v>
      </c>
      <c r="BM24" s="29">
        <f t="shared" si="20"/>
        <v>0</v>
      </c>
      <c r="BU24" s="50">
        <f t="shared" si="21"/>
        <v>2660.3763632955847</v>
      </c>
      <c r="BV24" s="50">
        <f>+'C&amp;A'!H25+SINDICATO!D25</f>
        <v>2660.3763632955847</v>
      </c>
      <c r="BW24" s="50">
        <f t="shared" si="22"/>
        <v>0</v>
      </c>
      <c r="BX24" s="55" t="s">
        <v>320</v>
      </c>
    </row>
    <row r="25" spans="1:76" s="28" customFormat="1" ht="15.75" hidden="1" x14ac:dyDescent="0.25">
      <c r="A25" s="27" t="s">
        <v>47</v>
      </c>
      <c r="B25" s="28" t="s">
        <v>48</v>
      </c>
      <c r="C25" s="29">
        <v>0</v>
      </c>
      <c r="D25" s="29">
        <v>0</v>
      </c>
      <c r="E25" s="29">
        <v>0</v>
      </c>
      <c r="F25" s="29">
        <v>0</v>
      </c>
      <c r="G25" s="29"/>
      <c r="H25" s="29">
        <v>0</v>
      </c>
      <c r="I25" s="29"/>
      <c r="J25" s="29"/>
      <c r="K25" s="50"/>
      <c r="L25" s="29">
        <f t="shared" si="7"/>
        <v>0</v>
      </c>
      <c r="M25" s="29">
        <f t="shared" si="8"/>
        <v>0</v>
      </c>
      <c r="N25" s="29">
        <f t="shared" si="9"/>
        <v>0</v>
      </c>
      <c r="O25" s="29">
        <f t="shared" si="10"/>
        <v>0</v>
      </c>
      <c r="P25" s="29">
        <v>0</v>
      </c>
      <c r="Q25" s="29">
        <f t="shared" si="11"/>
        <v>0</v>
      </c>
      <c r="R25" s="29">
        <v>0</v>
      </c>
      <c r="S25" s="29">
        <f t="shared" si="13"/>
        <v>0</v>
      </c>
      <c r="T25" s="62">
        <v>0</v>
      </c>
      <c r="U25" s="29">
        <f t="shared" si="14"/>
        <v>0</v>
      </c>
      <c r="V25" s="148"/>
      <c r="W25" s="149" t="s">
        <v>232</v>
      </c>
      <c r="X25" s="150" t="s">
        <v>47</v>
      </c>
      <c r="Y25" s="149" t="s">
        <v>123</v>
      </c>
      <c r="Z25" s="149"/>
      <c r="AA25" s="149"/>
      <c r="AB25" s="151">
        <v>1237.2399999999998</v>
      </c>
      <c r="AC25" s="149">
        <v>-37.239999999999782</v>
      </c>
      <c r="AD25" s="151">
        <f t="shared" si="15"/>
        <v>1200</v>
      </c>
      <c r="AE25" s="151"/>
      <c r="AF25" s="151"/>
      <c r="AG25" s="151"/>
      <c r="AH25" s="152"/>
      <c r="AI25" s="134">
        <f t="shared" si="16"/>
        <v>1200</v>
      </c>
      <c r="AJ25" s="151"/>
      <c r="AK25" s="111"/>
      <c r="AL25" s="111"/>
      <c r="AM25" s="153"/>
      <c r="AN25" s="153">
        <v>0</v>
      </c>
      <c r="AO25" s="134">
        <f t="shared" si="0"/>
        <v>1200</v>
      </c>
      <c r="AP25" s="111">
        <f t="shared" si="1"/>
        <v>0</v>
      </c>
      <c r="AQ25" s="134">
        <f t="shared" si="2"/>
        <v>1200</v>
      </c>
      <c r="AR25" s="111">
        <f t="shared" si="17"/>
        <v>120</v>
      </c>
      <c r="AS25" s="111">
        <f t="shared" si="3"/>
        <v>24.744799999999998</v>
      </c>
      <c r="AT25" s="134">
        <f t="shared" si="4"/>
        <v>1344.7447999999999</v>
      </c>
      <c r="AU25" s="113"/>
      <c r="BK25" s="55">
        <f t="shared" si="18"/>
        <v>0</v>
      </c>
      <c r="BL25" s="29">
        <f t="shared" si="19"/>
        <v>0</v>
      </c>
      <c r="BM25" s="29">
        <f t="shared" si="20"/>
        <v>0</v>
      </c>
      <c r="BU25" s="50">
        <f t="shared" si="21"/>
        <v>0</v>
      </c>
      <c r="BV25" s="50">
        <f>+'C&amp;A'!H26+SINDICATO!D26</f>
        <v>0</v>
      </c>
      <c r="BW25" s="50">
        <f t="shared" si="22"/>
        <v>0</v>
      </c>
      <c r="BX25" s="55"/>
    </row>
    <row r="26" spans="1:76" s="28" customFormat="1" ht="15.75" hidden="1" x14ac:dyDescent="0.25">
      <c r="A26" s="27" t="s">
        <v>49</v>
      </c>
      <c r="B26" s="28" t="s">
        <v>50</v>
      </c>
      <c r="C26" s="29">
        <v>22500</v>
      </c>
      <c r="D26" s="29">
        <v>0</v>
      </c>
      <c r="E26" s="29">
        <f t="shared" si="5"/>
        <v>0</v>
      </c>
      <c r="F26" s="29"/>
      <c r="G26" s="29"/>
      <c r="H26" s="29">
        <f t="shared" si="6"/>
        <v>479.28</v>
      </c>
      <c r="I26" s="29"/>
      <c r="J26" s="29"/>
      <c r="K26" s="50"/>
      <c r="L26" s="29">
        <f t="shared" si="7"/>
        <v>323.91000000000003</v>
      </c>
      <c r="M26" s="29">
        <f t="shared" si="8"/>
        <v>2250</v>
      </c>
      <c r="N26" s="29">
        <f t="shared" si="9"/>
        <v>19446.810000000001</v>
      </c>
      <c r="O26" s="29">
        <f t="shared" si="10"/>
        <v>0</v>
      </c>
      <c r="P26" s="29">
        <f>+'C&amp;A'!D27*0.02</f>
        <v>21.911999999999999</v>
      </c>
      <c r="Q26" s="29">
        <f t="shared" si="11"/>
        <v>22042.632000000001</v>
      </c>
      <c r="R26" s="29">
        <f t="shared" si="12"/>
        <v>3526.8211200000005</v>
      </c>
      <c r="S26" s="29">
        <f>+Q26+R26</f>
        <v>25569.453120000002</v>
      </c>
      <c r="T26" s="62">
        <f>+'C&amp;A'!H27+SINDICATO!L27</f>
        <v>17111.317999999999</v>
      </c>
      <c r="U26" s="29">
        <f t="shared" si="14"/>
        <v>-2335.492000000002</v>
      </c>
      <c r="V26" s="148"/>
      <c r="W26" s="149" t="s">
        <v>126</v>
      </c>
      <c r="X26" s="150">
        <v>3</v>
      </c>
      <c r="Y26" s="149" t="s">
        <v>233</v>
      </c>
      <c r="Z26" s="149" t="s">
        <v>234</v>
      </c>
      <c r="AA26" s="149"/>
      <c r="AB26" s="151">
        <v>1237.2399999999998</v>
      </c>
      <c r="AC26" s="149">
        <v>21262.76</v>
      </c>
      <c r="AD26" s="151">
        <f t="shared" si="15"/>
        <v>22500</v>
      </c>
      <c r="AE26" s="151"/>
      <c r="AF26" s="151"/>
      <c r="AG26" s="151"/>
      <c r="AH26" s="152"/>
      <c r="AI26" s="134">
        <f t="shared" si="16"/>
        <v>22500</v>
      </c>
      <c r="AJ26" s="151"/>
      <c r="AK26" s="111"/>
      <c r="AL26" s="111"/>
      <c r="AM26" s="153">
        <v>479.28</v>
      </c>
      <c r="AN26" s="153">
        <v>323.91000000000003</v>
      </c>
      <c r="AO26" s="134">
        <f t="shared" si="0"/>
        <v>21696.81</v>
      </c>
      <c r="AP26" s="111">
        <f>IF(AI26&gt;4500,AI26*0.1,0)</f>
        <v>2250</v>
      </c>
      <c r="AQ26" s="134">
        <f t="shared" si="2"/>
        <v>19446.810000000001</v>
      </c>
      <c r="AR26" s="111">
        <f t="shared" si="17"/>
        <v>0</v>
      </c>
      <c r="AS26" s="111">
        <f t="shared" si="3"/>
        <v>24.744799999999998</v>
      </c>
      <c r="AT26" s="134">
        <f t="shared" si="4"/>
        <v>22524.7448</v>
      </c>
      <c r="AU26" s="113"/>
      <c r="BK26" s="55">
        <f t="shared" si="18"/>
        <v>22020.720000000001</v>
      </c>
      <c r="BL26" s="29">
        <f t="shared" si="19"/>
        <v>0</v>
      </c>
      <c r="BM26" s="29">
        <f t="shared" si="20"/>
        <v>2202.0720000000001</v>
      </c>
      <c r="BU26" s="50">
        <f t="shared" si="21"/>
        <v>22500</v>
      </c>
      <c r="BV26" s="50">
        <f>+'C&amp;A'!H27+SINDICATO!D27</f>
        <v>22500</v>
      </c>
      <c r="BW26" s="50">
        <f t="shared" si="22"/>
        <v>0</v>
      </c>
      <c r="BX26" s="55" t="s">
        <v>319</v>
      </c>
    </row>
    <row r="27" spans="1:76" s="28" customFormat="1" ht="15.75" hidden="1" x14ac:dyDescent="0.25">
      <c r="A27" s="27" t="s">
        <v>51</v>
      </c>
      <c r="B27" s="28" t="s">
        <v>52</v>
      </c>
      <c r="C27" s="29">
        <v>2500</v>
      </c>
      <c r="D27" s="29">
        <v>160.37636329558455</v>
      </c>
      <c r="E27" s="29">
        <f t="shared" si="5"/>
        <v>0</v>
      </c>
      <c r="F27" s="29"/>
      <c r="G27" s="29"/>
      <c r="H27" s="29">
        <f t="shared" si="6"/>
        <v>0</v>
      </c>
      <c r="I27" s="29"/>
      <c r="J27" s="29"/>
      <c r="K27" s="50"/>
      <c r="L27" s="29">
        <f t="shared" si="7"/>
        <v>0</v>
      </c>
      <c r="M27" s="29">
        <f t="shared" si="8"/>
        <v>0</v>
      </c>
      <c r="N27" s="29">
        <f t="shared" si="9"/>
        <v>2660.3763632955847</v>
      </c>
      <c r="O27" s="29">
        <f t="shared" si="10"/>
        <v>266.0376363295585</v>
      </c>
      <c r="P27" s="29">
        <f>+'C&amp;A'!D28*0.02</f>
        <v>21.911999999999999</v>
      </c>
      <c r="Q27" s="29">
        <f t="shared" si="11"/>
        <v>2948.3259996251431</v>
      </c>
      <c r="R27" s="29">
        <f t="shared" si="12"/>
        <v>471.73215994002294</v>
      </c>
      <c r="S27" s="29">
        <f t="shared" si="13"/>
        <v>3420.0581595651661</v>
      </c>
      <c r="T27" s="62">
        <f>+'C&amp;A'!H28+SINDICATO!L28</f>
        <v>2660.3763632955847</v>
      </c>
      <c r="U27" s="29">
        <f t="shared" si="14"/>
        <v>0</v>
      </c>
      <c r="V27" s="148"/>
      <c r="W27" s="149" t="s">
        <v>146</v>
      </c>
      <c r="X27" s="149" t="s">
        <v>145</v>
      </c>
      <c r="Y27" s="149" t="s">
        <v>235</v>
      </c>
      <c r="Z27" s="149"/>
      <c r="AA27" s="149"/>
      <c r="AB27" s="151">
        <v>1237.2399999999998</v>
      </c>
      <c r="AC27" s="149">
        <v>1262.7600000000002</v>
      </c>
      <c r="AD27" s="151">
        <f t="shared" si="15"/>
        <v>2500</v>
      </c>
      <c r="AE27" s="151"/>
      <c r="AF27" s="151"/>
      <c r="AG27" s="151"/>
      <c r="AH27" s="152"/>
      <c r="AI27" s="134">
        <f t="shared" si="16"/>
        <v>2660.3763632955847</v>
      </c>
      <c r="AJ27" s="151"/>
      <c r="AK27" s="111"/>
      <c r="AL27" s="111"/>
      <c r="AM27" s="153"/>
      <c r="AN27" s="153">
        <v>0</v>
      </c>
      <c r="AO27" s="134">
        <f t="shared" si="0"/>
        <v>2660.3763632955847</v>
      </c>
      <c r="AP27" s="111">
        <f t="shared" si="1"/>
        <v>0</v>
      </c>
      <c r="AQ27" s="134">
        <f t="shared" si="2"/>
        <v>2660.3763632955847</v>
      </c>
      <c r="AR27" s="111">
        <f t="shared" si="17"/>
        <v>266.0376363295585</v>
      </c>
      <c r="AS27" s="111">
        <f t="shared" si="3"/>
        <v>24.744799999999998</v>
      </c>
      <c r="AT27" s="134">
        <f t="shared" si="4"/>
        <v>2951.1587996251433</v>
      </c>
      <c r="AU27" s="113"/>
      <c r="BK27" s="55">
        <f t="shared" si="18"/>
        <v>2660.3763632955847</v>
      </c>
      <c r="BL27" s="29">
        <f t="shared" si="19"/>
        <v>266.0376363295585</v>
      </c>
      <c r="BM27" s="29">
        <f t="shared" si="20"/>
        <v>0</v>
      </c>
      <c r="BU27" s="50">
        <f t="shared" si="21"/>
        <v>2660.3763632955847</v>
      </c>
      <c r="BV27" s="50">
        <f>+'C&amp;A'!H28+SINDICATO!D28</f>
        <v>2660.3763632955847</v>
      </c>
      <c r="BW27" s="50">
        <f t="shared" si="22"/>
        <v>0</v>
      </c>
      <c r="BX27" s="55" t="s">
        <v>320</v>
      </c>
    </row>
    <row r="28" spans="1:76" s="28" customFormat="1" ht="15.75" hidden="1" x14ac:dyDescent="0.25">
      <c r="A28" s="27" t="s">
        <v>53</v>
      </c>
      <c r="B28" s="28" t="s">
        <v>54</v>
      </c>
      <c r="C28" s="29">
        <v>2000</v>
      </c>
      <c r="D28" s="29">
        <v>188.73102434597322</v>
      </c>
      <c r="E28" s="29">
        <f t="shared" si="5"/>
        <v>0</v>
      </c>
      <c r="F28" s="29"/>
      <c r="G28" s="29"/>
      <c r="H28" s="29">
        <f t="shared" si="6"/>
        <v>0</v>
      </c>
      <c r="I28" s="29"/>
      <c r="J28" s="29"/>
      <c r="K28" s="50"/>
      <c r="L28" s="29">
        <f t="shared" si="7"/>
        <v>0</v>
      </c>
      <c r="M28" s="29">
        <f t="shared" si="8"/>
        <v>0</v>
      </c>
      <c r="N28" s="29">
        <f t="shared" si="9"/>
        <v>2188.7310243459733</v>
      </c>
      <c r="O28" s="29">
        <f t="shared" si="10"/>
        <v>218.87310243459734</v>
      </c>
      <c r="P28" s="29">
        <f>+'C&amp;A'!D29*0.02</f>
        <v>21.911999999999999</v>
      </c>
      <c r="Q28" s="29">
        <f t="shared" si="11"/>
        <v>2429.5161267805706</v>
      </c>
      <c r="R28" s="29">
        <f t="shared" si="12"/>
        <v>388.72258028489131</v>
      </c>
      <c r="S28" s="29">
        <f t="shared" si="13"/>
        <v>2818.2387070654618</v>
      </c>
      <c r="T28" s="62">
        <f>+'C&amp;A'!H29+SINDICATO!L29</f>
        <v>2188.7310243459733</v>
      </c>
      <c r="U28" s="29">
        <f t="shared" si="14"/>
        <v>0</v>
      </c>
      <c r="V28" s="148"/>
      <c r="W28" s="149" t="s">
        <v>236</v>
      </c>
      <c r="X28" s="150" t="s">
        <v>53</v>
      </c>
      <c r="Y28" s="149" t="s">
        <v>237</v>
      </c>
      <c r="Z28" s="149"/>
      <c r="AA28" s="149"/>
      <c r="AB28" s="151">
        <v>1237.2399999999998</v>
      </c>
      <c r="AC28" s="149">
        <v>762.76</v>
      </c>
      <c r="AD28" s="151">
        <f t="shared" si="15"/>
        <v>1999.9999999999998</v>
      </c>
      <c r="AE28" s="151"/>
      <c r="AF28" s="151"/>
      <c r="AG28" s="151"/>
      <c r="AH28" s="152"/>
      <c r="AI28" s="134">
        <f t="shared" si="16"/>
        <v>2188.7310243459729</v>
      </c>
      <c r="AJ28" s="151"/>
      <c r="AK28" s="111"/>
      <c r="AL28" s="111"/>
      <c r="AM28" s="153"/>
      <c r="AN28" s="153">
        <v>0</v>
      </c>
      <c r="AO28" s="134">
        <f t="shared" si="0"/>
        <v>2188.7310243459729</v>
      </c>
      <c r="AP28" s="111">
        <f t="shared" si="1"/>
        <v>0</v>
      </c>
      <c r="AQ28" s="134">
        <f t="shared" si="2"/>
        <v>2188.7310243459729</v>
      </c>
      <c r="AR28" s="111">
        <f t="shared" si="17"/>
        <v>218.87310243459729</v>
      </c>
      <c r="AS28" s="111">
        <f t="shared" si="3"/>
        <v>24.744799999999998</v>
      </c>
      <c r="AT28" s="134">
        <f t="shared" si="4"/>
        <v>2432.3489267805703</v>
      </c>
      <c r="AU28" s="113"/>
      <c r="BK28" s="55">
        <f t="shared" si="18"/>
        <v>2188.7310243459733</v>
      </c>
      <c r="BL28" s="29">
        <f t="shared" si="19"/>
        <v>218.87310243459734</v>
      </c>
      <c r="BM28" s="29">
        <f t="shared" si="20"/>
        <v>0</v>
      </c>
      <c r="BU28" s="50">
        <f t="shared" si="21"/>
        <v>2188.7310243459733</v>
      </c>
      <c r="BV28" s="50">
        <f>+'C&amp;A'!H29+SINDICATO!D29</f>
        <v>2188.7310243459733</v>
      </c>
      <c r="BW28" s="50">
        <f t="shared" si="22"/>
        <v>0</v>
      </c>
      <c r="BX28" s="55" t="s">
        <v>320</v>
      </c>
    </row>
    <row r="29" spans="1:76" s="28" customFormat="1" ht="15.75" x14ac:dyDescent="0.25">
      <c r="A29" s="27" t="s">
        <v>55</v>
      </c>
      <c r="B29" s="28" t="s">
        <v>56</v>
      </c>
      <c r="C29" s="29">
        <v>1200</v>
      </c>
      <c r="D29" s="29">
        <v>125.12056780965156</v>
      </c>
      <c r="E29" s="29">
        <f t="shared" si="5"/>
        <v>2001</v>
      </c>
      <c r="F29" s="29"/>
      <c r="G29" s="29"/>
      <c r="H29" s="29">
        <f t="shared" si="6"/>
        <v>0</v>
      </c>
      <c r="I29" s="29"/>
      <c r="J29" s="29"/>
      <c r="K29" s="50"/>
      <c r="L29" s="29">
        <f t="shared" si="7"/>
        <v>0</v>
      </c>
      <c r="M29" s="29">
        <f t="shared" si="8"/>
        <v>0</v>
      </c>
      <c r="N29" s="29">
        <f t="shared" si="9"/>
        <v>3326.1205678096517</v>
      </c>
      <c r="O29" s="29">
        <f t="shared" si="10"/>
        <v>332.61205678096519</v>
      </c>
      <c r="P29" s="29">
        <f>+'C&amp;A'!D30*0.02</f>
        <v>21.911999999999999</v>
      </c>
      <c r="Q29" s="29">
        <f t="shared" si="11"/>
        <v>3680.6446245906168</v>
      </c>
      <c r="R29" s="29">
        <f t="shared" si="12"/>
        <v>588.90313993449865</v>
      </c>
      <c r="S29" s="29">
        <f t="shared" si="13"/>
        <v>4269.5477645251158</v>
      </c>
      <c r="T29" s="62">
        <f>+'C&amp;A'!H30+SINDICATO!L30</f>
        <v>3271.1205678096512</v>
      </c>
      <c r="U29" s="29">
        <f t="shared" si="14"/>
        <v>-55.000000000000455</v>
      </c>
      <c r="V29" s="148"/>
      <c r="W29" s="149" t="s">
        <v>238</v>
      </c>
      <c r="X29" s="150" t="s">
        <v>55</v>
      </c>
      <c r="Y29" s="149" t="s">
        <v>123</v>
      </c>
      <c r="Z29" s="149"/>
      <c r="AA29" s="149"/>
      <c r="AB29" s="151">
        <v>1237.2399999999998</v>
      </c>
      <c r="AC29" s="149">
        <v>-37.239999999999782</v>
      </c>
      <c r="AD29" s="151">
        <f t="shared" si="15"/>
        <v>1200</v>
      </c>
      <c r="AE29" s="151">
        <v>2001</v>
      </c>
      <c r="AF29" s="151"/>
      <c r="AG29" s="151"/>
      <c r="AH29" s="152"/>
      <c r="AI29" s="134">
        <f t="shared" si="16"/>
        <v>3326.1205678096517</v>
      </c>
      <c r="AJ29" s="151"/>
      <c r="AK29" s="111"/>
      <c r="AL29" s="111"/>
      <c r="AM29" s="153"/>
      <c r="AN29" s="153">
        <v>0</v>
      </c>
      <c r="AO29" s="134">
        <f t="shared" si="0"/>
        <v>3326.1205678096517</v>
      </c>
      <c r="AP29" s="111">
        <f t="shared" si="1"/>
        <v>0</v>
      </c>
      <c r="AQ29" s="134">
        <f t="shared" si="2"/>
        <v>3326.1205678096517</v>
      </c>
      <c r="AR29" s="111">
        <f t="shared" si="17"/>
        <v>332.61205678096519</v>
      </c>
      <c r="AS29" s="111">
        <f t="shared" si="3"/>
        <v>24.744799999999998</v>
      </c>
      <c r="AT29" s="134">
        <f t="shared" si="4"/>
        <v>3683.4774245906169</v>
      </c>
      <c r="AU29" s="113"/>
      <c r="BK29" s="55">
        <f t="shared" si="18"/>
        <v>3326.1205678096517</v>
      </c>
      <c r="BL29" s="29">
        <f t="shared" si="19"/>
        <v>332.61205678096519</v>
      </c>
      <c r="BM29" s="29">
        <f t="shared" si="20"/>
        <v>0</v>
      </c>
      <c r="BU29" s="50">
        <f t="shared" si="21"/>
        <v>3326.1205678096517</v>
      </c>
      <c r="BV29" s="50">
        <f>+'C&amp;A'!H30+SINDICATO!D30</f>
        <v>3326.1205678096512</v>
      </c>
      <c r="BW29" s="50">
        <f t="shared" si="22"/>
        <v>0</v>
      </c>
      <c r="BX29" s="55" t="s">
        <v>317</v>
      </c>
    </row>
    <row r="30" spans="1:76" s="28" customFormat="1" ht="15.75" x14ac:dyDescent="0.25">
      <c r="A30" s="75" t="s">
        <v>164</v>
      </c>
      <c r="B30" s="28" t="s">
        <v>162</v>
      </c>
      <c r="C30" s="29">
        <v>2000</v>
      </c>
      <c r="D30" s="29">
        <v>188.73102434597322</v>
      </c>
      <c r="E30" s="29">
        <f t="shared" si="5"/>
        <v>0</v>
      </c>
      <c r="F30" s="29"/>
      <c r="G30" s="29"/>
      <c r="H30" s="29">
        <f t="shared" si="6"/>
        <v>0</v>
      </c>
      <c r="I30" s="29"/>
      <c r="J30" s="29"/>
      <c r="K30" s="50"/>
      <c r="L30" s="29">
        <f t="shared" si="7"/>
        <v>0</v>
      </c>
      <c r="M30" s="29">
        <f t="shared" si="8"/>
        <v>0</v>
      </c>
      <c r="N30" s="29">
        <f t="shared" si="9"/>
        <v>2188.7310243459733</v>
      </c>
      <c r="O30" s="29">
        <f t="shared" si="10"/>
        <v>218.87310243459734</v>
      </c>
      <c r="P30" s="29">
        <f>+'C&amp;A'!D31*0.02</f>
        <v>21.911999999999999</v>
      </c>
      <c r="Q30" s="29">
        <f t="shared" si="11"/>
        <v>2429.5161267805706</v>
      </c>
      <c r="R30" s="29">
        <f t="shared" si="12"/>
        <v>388.72258028489131</v>
      </c>
      <c r="S30" s="29">
        <f t="shared" si="13"/>
        <v>2818.2387070654618</v>
      </c>
      <c r="T30" s="62">
        <f>+'C&amp;A'!H31+SINDICATO!L31</f>
        <v>2188.7310243459733</v>
      </c>
      <c r="U30" s="29">
        <f t="shared" si="14"/>
        <v>0</v>
      </c>
      <c r="V30" s="148"/>
      <c r="W30" s="149" t="s">
        <v>243</v>
      </c>
      <c r="X30" s="150" t="s">
        <v>164</v>
      </c>
      <c r="Y30" s="149" t="s">
        <v>237</v>
      </c>
      <c r="Z30" s="149"/>
      <c r="AA30" s="149"/>
      <c r="AB30" s="151">
        <v>1237.24</v>
      </c>
      <c r="AC30" s="149">
        <v>762.76</v>
      </c>
      <c r="AD30" s="151">
        <f t="shared" si="15"/>
        <v>2000</v>
      </c>
      <c r="AE30" s="151"/>
      <c r="AF30" s="151"/>
      <c r="AG30" s="151"/>
      <c r="AH30" s="152"/>
      <c r="AI30" s="134">
        <f t="shared" si="16"/>
        <v>2188.7310243459733</v>
      </c>
      <c r="AJ30" s="151"/>
      <c r="AK30" s="111"/>
      <c r="AL30" s="111"/>
      <c r="AM30" s="153"/>
      <c r="AN30" s="153">
        <v>0</v>
      </c>
      <c r="AO30" s="134">
        <f t="shared" si="0"/>
        <v>2188.7310243459733</v>
      </c>
      <c r="AP30" s="111">
        <f t="shared" si="1"/>
        <v>0</v>
      </c>
      <c r="AQ30" s="134">
        <f t="shared" si="2"/>
        <v>2188.7310243459733</v>
      </c>
      <c r="AR30" s="111">
        <f t="shared" si="17"/>
        <v>218.87310243459734</v>
      </c>
      <c r="AS30" s="111">
        <f t="shared" si="3"/>
        <v>24.744800000000001</v>
      </c>
      <c r="AT30" s="134">
        <f t="shared" si="4"/>
        <v>2432.3489267805708</v>
      </c>
      <c r="AU30" s="113"/>
      <c r="BK30" s="55">
        <f t="shared" si="18"/>
        <v>2188.7310243459733</v>
      </c>
      <c r="BL30" s="29">
        <f t="shared" si="19"/>
        <v>218.87310243459734</v>
      </c>
      <c r="BM30" s="29">
        <f t="shared" si="20"/>
        <v>0</v>
      </c>
      <c r="BU30" s="50">
        <f t="shared" si="21"/>
        <v>2188.7310243459733</v>
      </c>
      <c r="BV30" s="50">
        <f>+'C&amp;A'!H31+SINDICATO!D31</f>
        <v>2188.7310243459733</v>
      </c>
      <c r="BW30" s="50">
        <f t="shared" si="22"/>
        <v>0</v>
      </c>
      <c r="BX30" s="55" t="s">
        <v>317</v>
      </c>
    </row>
    <row r="31" spans="1:76" s="28" customFormat="1" ht="15.75" hidden="1" x14ac:dyDescent="0.25">
      <c r="A31" s="27" t="s">
        <v>57</v>
      </c>
      <c r="B31" s="28" t="s">
        <v>58</v>
      </c>
      <c r="C31" s="29">
        <v>2250</v>
      </c>
      <c r="D31" s="29">
        <v>174.77873081324233</v>
      </c>
      <c r="E31" s="29">
        <f t="shared" si="5"/>
        <v>0</v>
      </c>
      <c r="F31" s="29"/>
      <c r="G31" s="29"/>
      <c r="H31" s="29">
        <f t="shared" si="6"/>
        <v>0</v>
      </c>
      <c r="I31" s="29"/>
      <c r="J31" s="29"/>
      <c r="K31" s="50"/>
      <c r="L31" s="29">
        <f t="shared" si="7"/>
        <v>0</v>
      </c>
      <c r="M31" s="29">
        <f t="shared" si="8"/>
        <v>0</v>
      </c>
      <c r="N31" s="29">
        <f t="shared" si="9"/>
        <v>2424.7787308132424</v>
      </c>
      <c r="O31" s="29">
        <f t="shared" si="10"/>
        <v>242.47787308132425</v>
      </c>
      <c r="P31" s="29">
        <f>+'C&amp;A'!D32*0.02</f>
        <v>21.911999999999999</v>
      </c>
      <c r="Q31" s="29">
        <f t="shared" si="11"/>
        <v>2689.1686038945663</v>
      </c>
      <c r="R31" s="29">
        <f t="shared" si="12"/>
        <v>430.26697662313063</v>
      </c>
      <c r="S31" s="29">
        <f t="shared" si="13"/>
        <v>3119.435580517697</v>
      </c>
      <c r="T31" s="62">
        <f>+'C&amp;A'!H32+SINDICATO!L32</f>
        <v>2424.7787308132424</v>
      </c>
      <c r="U31" s="29">
        <f t="shared" si="14"/>
        <v>0</v>
      </c>
      <c r="V31" s="148"/>
      <c r="W31" s="149" t="s">
        <v>132</v>
      </c>
      <c r="X31" s="150" t="s">
        <v>57</v>
      </c>
      <c r="Y31" s="149" t="s">
        <v>244</v>
      </c>
      <c r="Z31" s="149" t="s">
        <v>206</v>
      </c>
      <c r="AA31" s="149"/>
      <c r="AB31" s="151">
        <v>1237.2399999999998</v>
      </c>
      <c r="AC31" s="149">
        <v>1012.7600000000002</v>
      </c>
      <c r="AD31" s="151">
        <f t="shared" si="15"/>
        <v>2250</v>
      </c>
      <c r="AE31" s="151"/>
      <c r="AF31" s="151"/>
      <c r="AG31" s="151"/>
      <c r="AH31" s="152"/>
      <c r="AI31" s="134">
        <f t="shared" si="16"/>
        <v>2424.7787308132424</v>
      </c>
      <c r="AJ31" s="151"/>
      <c r="AK31" s="111"/>
      <c r="AL31" s="111"/>
      <c r="AM31" s="153"/>
      <c r="AN31" s="153">
        <v>0</v>
      </c>
      <c r="AO31" s="134">
        <f t="shared" si="0"/>
        <v>2424.7787308132424</v>
      </c>
      <c r="AP31" s="111">
        <f t="shared" si="1"/>
        <v>0</v>
      </c>
      <c r="AQ31" s="134">
        <f t="shared" si="2"/>
        <v>2424.7787308132424</v>
      </c>
      <c r="AR31" s="111">
        <f t="shared" si="17"/>
        <v>242.47787308132425</v>
      </c>
      <c r="AS31" s="111">
        <f t="shared" si="3"/>
        <v>24.744799999999998</v>
      </c>
      <c r="AT31" s="134">
        <f t="shared" si="4"/>
        <v>2692.0014038945665</v>
      </c>
      <c r="AU31" s="113"/>
      <c r="BK31" s="55">
        <f t="shared" si="18"/>
        <v>2424.7787308132424</v>
      </c>
      <c r="BL31" s="29">
        <f t="shared" si="19"/>
        <v>242.47787308132425</v>
      </c>
      <c r="BM31" s="29">
        <f t="shared" si="20"/>
        <v>0</v>
      </c>
      <c r="BU31" s="50">
        <f t="shared" si="21"/>
        <v>2424.7787308132424</v>
      </c>
      <c r="BV31" s="50">
        <f>+'C&amp;A'!H32+SINDICATO!D32</f>
        <v>2424.7787308132424</v>
      </c>
      <c r="BW31" s="50">
        <f t="shared" si="22"/>
        <v>0</v>
      </c>
      <c r="BX31" s="55" t="s">
        <v>319</v>
      </c>
    </row>
    <row r="32" spans="1:76" s="28" customFormat="1" ht="15.75" hidden="1" x14ac:dyDescent="0.25">
      <c r="A32" s="27" t="s">
        <v>59</v>
      </c>
      <c r="B32" s="28" t="s">
        <v>60</v>
      </c>
      <c r="C32" s="29">
        <v>2000</v>
      </c>
      <c r="D32" s="29">
        <v>188.73102434597322</v>
      </c>
      <c r="E32" s="64">
        <v>1240</v>
      </c>
      <c r="F32" s="29"/>
      <c r="G32" s="29"/>
      <c r="H32" s="29">
        <f t="shared" si="6"/>
        <v>0</v>
      </c>
      <c r="I32" s="29"/>
      <c r="J32" s="29"/>
      <c r="K32" s="50"/>
      <c r="L32" s="29">
        <f t="shared" si="7"/>
        <v>0</v>
      </c>
      <c r="M32" s="29">
        <f t="shared" si="8"/>
        <v>0</v>
      </c>
      <c r="N32" s="29">
        <f t="shared" si="9"/>
        <v>3428.7310243459733</v>
      </c>
      <c r="O32" s="29">
        <f t="shared" si="10"/>
        <v>342.87310243459734</v>
      </c>
      <c r="P32" s="29">
        <f>+'C&amp;A'!D33*0.02</f>
        <v>21.911999999999999</v>
      </c>
      <c r="Q32" s="29">
        <f t="shared" si="11"/>
        <v>3793.5161267805706</v>
      </c>
      <c r="R32" s="29">
        <f t="shared" si="12"/>
        <v>606.96258028489126</v>
      </c>
      <c r="S32" s="29">
        <f t="shared" si="13"/>
        <v>4400.478707065462</v>
      </c>
      <c r="T32" s="62">
        <f>+'C&amp;A'!H33+SINDICATO!L33</f>
        <v>3428.7310243459733</v>
      </c>
      <c r="U32" s="29">
        <f t="shared" si="14"/>
        <v>0</v>
      </c>
      <c r="V32" s="148"/>
      <c r="W32" s="149" t="s">
        <v>246</v>
      </c>
      <c r="X32" s="150" t="s">
        <v>59</v>
      </c>
      <c r="Y32" s="149" t="s">
        <v>247</v>
      </c>
      <c r="Z32" s="149"/>
      <c r="AA32" s="149"/>
      <c r="AB32" s="151">
        <v>1237.2399999999998</v>
      </c>
      <c r="AC32" s="149">
        <v>762.76000000000022</v>
      </c>
      <c r="AD32" s="151">
        <f t="shared" si="15"/>
        <v>2000</v>
      </c>
      <c r="AE32" s="151"/>
      <c r="AF32" s="151"/>
      <c r="AG32" s="151"/>
      <c r="AH32" s="152"/>
      <c r="AI32" s="134">
        <f t="shared" si="16"/>
        <v>2188.7310243459733</v>
      </c>
      <c r="AJ32" s="151"/>
      <c r="AK32" s="111"/>
      <c r="AL32" s="111"/>
      <c r="AM32" s="153"/>
      <c r="AN32" s="153">
        <v>0</v>
      </c>
      <c r="AO32" s="134">
        <f t="shared" si="0"/>
        <v>2188.7310243459733</v>
      </c>
      <c r="AP32" s="111">
        <f t="shared" si="1"/>
        <v>0</v>
      </c>
      <c r="AQ32" s="134">
        <f t="shared" si="2"/>
        <v>2188.7310243459733</v>
      </c>
      <c r="AR32" s="111">
        <f t="shared" si="17"/>
        <v>218.87310243459734</v>
      </c>
      <c r="AS32" s="111">
        <f t="shared" si="3"/>
        <v>24.744799999999998</v>
      </c>
      <c r="AT32" s="134">
        <f t="shared" si="4"/>
        <v>2432.3489267805708</v>
      </c>
      <c r="AU32" s="113"/>
      <c r="BK32" s="55">
        <f t="shared" si="18"/>
        <v>3428.7310243459733</v>
      </c>
      <c r="BL32" s="29">
        <f t="shared" si="19"/>
        <v>342.87310243459734</v>
      </c>
      <c r="BM32" s="29">
        <f t="shared" si="20"/>
        <v>0</v>
      </c>
      <c r="BU32" s="50">
        <f t="shared" si="21"/>
        <v>3428.7310243459733</v>
      </c>
      <c r="BV32" s="50">
        <f>+'C&amp;A'!H33+SINDICATO!D33</f>
        <v>3428.7310243459733</v>
      </c>
      <c r="BW32" s="50">
        <f t="shared" si="22"/>
        <v>0</v>
      </c>
      <c r="BX32" s="55" t="s">
        <v>319</v>
      </c>
    </row>
    <row r="33" spans="1:76" s="28" customFormat="1" ht="15.75" hidden="1" x14ac:dyDescent="0.25">
      <c r="A33" s="27" t="s">
        <v>61</v>
      </c>
      <c r="B33" s="28" t="s">
        <v>62</v>
      </c>
      <c r="C33" s="29">
        <v>1200</v>
      </c>
      <c r="D33" s="29">
        <v>125.12056780965156</v>
      </c>
      <c r="E33" s="29">
        <f t="shared" si="5"/>
        <v>1986.33</v>
      </c>
      <c r="F33" s="29"/>
      <c r="G33" s="29"/>
      <c r="H33" s="29">
        <f t="shared" si="6"/>
        <v>0</v>
      </c>
      <c r="I33" s="29"/>
      <c r="J33" s="29"/>
      <c r="K33" s="50"/>
      <c r="L33" s="29">
        <f t="shared" si="7"/>
        <v>0</v>
      </c>
      <c r="M33" s="29">
        <f t="shared" si="8"/>
        <v>0</v>
      </c>
      <c r="N33" s="29">
        <f t="shared" si="9"/>
        <v>3311.4505678096516</v>
      </c>
      <c r="O33" s="29">
        <f t="shared" si="10"/>
        <v>331.14505678096521</v>
      </c>
      <c r="P33" s="29">
        <f>+'C&amp;A'!D34*0.02</f>
        <v>21.911999999999999</v>
      </c>
      <c r="Q33" s="29">
        <f t="shared" si="11"/>
        <v>3664.5076245906166</v>
      </c>
      <c r="R33" s="29">
        <f t="shared" si="12"/>
        <v>586.32121993449869</v>
      </c>
      <c r="S33" s="29">
        <f t="shared" si="13"/>
        <v>4250.8288445251155</v>
      </c>
      <c r="T33" s="62">
        <f>+'C&amp;A'!H34+SINDICATO!L34</f>
        <v>3286.4505678096511</v>
      </c>
      <c r="U33" s="29">
        <f t="shared" si="14"/>
        <v>-25.000000000000455</v>
      </c>
      <c r="V33" s="148"/>
      <c r="W33" s="149" t="s">
        <v>248</v>
      </c>
      <c r="X33" s="150" t="s">
        <v>61</v>
      </c>
      <c r="Y33" s="149" t="s">
        <v>122</v>
      </c>
      <c r="Z33" s="149"/>
      <c r="AA33" s="149"/>
      <c r="AB33" s="151">
        <v>1200</v>
      </c>
      <c r="AC33" s="149">
        <v>0</v>
      </c>
      <c r="AD33" s="151">
        <f t="shared" si="15"/>
        <v>1200</v>
      </c>
      <c r="AE33" s="151">
        <v>1986.33</v>
      </c>
      <c r="AF33" s="151"/>
      <c r="AG33" s="151"/>
      <c r="AH33" s="152"/>
      <c r="AI33" s="134">
        <f t="shared" si="16"/>
        <v>3311.4505678096516</v>
      </c>
      <c r="AJ33" s="151"/>
      <c r="AK33" s="111"/>
      <c r="AL33" s="111"/>
      <c r="AM33" s="153"/>
      <c r="AN33" s="153">
        <v>0</v>
      </c>
      <c r="AO33" s="134">
        <f t="shared" si="0"/>
        <v>3311.4505678096516</v>
      </c>
      <c r="AP33" s="111">
        <f t="shared" si="1"/>
        <v>0</v>
      </c>
      <c r="AQ33" s="134">
        <f t="shared" si="2"/>
        <v>3311.4505678096516</v>
      </c>
      <c r="AR33" s="111">
        <f t="shared" si="17"/>
        <v>331.14505678096521</v>
      </c>
      <c r="AS33" s="111">
        <f t="shared" si="3"/>
        <v>24</v>
      </c>
      <c r="AT33" s="134">
        <f t="shared" si="4"/>
        <v>3666.5956245906168</v>
      </c>
      <c r="AU33" s="113"/>
      <c r="BK33" s="55">
        <f t="shared" si="18"/>
        <v>3311.4505678096516</v>
      </c>
      <c r="BL33" s="29">
        <f t="shared" si="19"/>
        <v>331.14505678096521</v>
      </c>
      <c r="BM33" s="29">
        <f t="shared" si="20"/>
        <v>0</v>
      </c>
      <c r="BU33" s="50">
        <f t="shared" si="21"/>
        <v>3311.4505678096516</v>
      </c>
      <c r="BV33" s="50">
        <f>+'C&amp;A'!H34+SINDICATO!D34</f>
        <v>3311.4505678096511</v>
      </c>
      <c r="BW33" s="50">
        <f t="shared" si="22"/>
        <v>0</v>
      </c>
      <c r="BX33" s="55" t="s">
        <v>320</v>
      </c>
    </row>
    <row r="34" spans="1:76" s="28" customFormat="1" ht="15.75" hidden="1" x14ac:dyDescent="0.25">
      <c r="A34" s="27" t="s">
        <v>63</v>
      </c>
      <c r="B34" s="28" t="s">
        <v>64</v>
      </c>
      <c r="C34" s="29">
        <v>2000</v>
      </c>
      <c r="D34" s="29">
        <v>188.73102434597322</v>
      </c>
      <c r="E34" s="29">
        <f t="shared" si="5"/>
        <v>0</v>
      </c>
      <c r="F34" s="29"/>
      <c r="G34" s="29"/>
      <c r="H34" s="29">
        <f t="shared" si="6"/>
        <v>0</v>
      </c>
      <c r="I34" s="29"/>
      <c r="J34" s="29"/>
      <c r="K34" s="50"/>
      <c r="L34" s="29">
        <f t="shared" si="7"/>
        <v>313.89999999999998</v>
      </c>
      <c r="M34" s="29">
        <f t="shared" si="8"/>
        <v>0</v>
      </c>
      <c r="N34" s="29">
        <f t="shared" si="9"/>
        <v>1874.8310243459732</v>
      </c>
      <c r="O34" s="29">
        <f t="shared" si="10"/>
        <v>218.87310243459734</v>
      </c>
      <c r="P34" s="29">
        <f>+'C&amp;A'!D35*0.02</f>
        <v>21.911999999999999</v>
      </c>
      <c r="Q34" s="29">
        <f t="shared" si="11"/>
        <v>2429.5161267805706</v>
      </c>
      <c r="R34" s="29">
        <f t="shared" si="12"/>
        <v>388.72258028489131</v>
      </c>
      <c r="S34" s="29">
        <f t="shared" si="13"/>
        <v>2818.2387070654618</v>
      </c>
      <c r="T34" s="62">
        <f>+'C&amp;A'!H35+SINDICATO!L35</f>
        <v>1874.8310243459732</v>
      </c>
      <c r="U34" s="29">
        <f t="shared" si="14"/>
        <v>0</v>
      </c>
      <c r="V34" s="148"/>
      <c r="W34" s="149" t="s">
        <v>131</v>
      </c>
      <c r="X34" s="150" t="s">
        <v>63</v>
      </c>
      <c r="Y34" s="149" t="s">
        <v>249</v>
      </c>
      <c r="Z34" s="149"/>
      <c r="AA34" s="149"/>
      <c r="AB34" s="151">
        <v>1237.2399999999998</v>
      </c>
      <c r="AC34" s="149">
        <v>762.76000000000022</v>
      </c>
      <c r="AD34" s="151">
        <f t="shared" si="15"/>
        <v>2000</v>
      </c>
      <c r="AE34" s="151"/>
      <c r="AF34" s="151"/>
      <c r="AG34" s="151"/>
      <c r="AH34" s="152"/>
      <c r="AI34" s="134">
        <f t="shared" si="16"/>
        <v>2188.7310243459733</v>
      </c>
      <c r="AJ34" s="151"/>
      <c r="AK34" s="111"/>
      <c r="AL34" s="111"/>
      <c r="AM34" s="153"/>
      <c r="AN34" s="153">
        <v>313.89999999999998</v>
      </c>
      <c r="AO34" s="134">
        <f t="shared" si="0"/>
        <v>1874.8310243459732</v>
      </c>
      <c r="AP34" s="111">
        <f t="shared" si="1"/>
        <v>0</v>
      </c>
      <c r="AQ34" s="134">
        <f t="shared" si="2"/>
        <v>1874.8310243459732</v>
      </c>
      <c r="AR34" s="111">
        <f t="shared" si="17"/>
        <v>218.87310243459734</v>
      </c>
      <c r="AS34" s="111">
        <f t="shared" si="3"/>
        <v>24.744799999999998</v>
      </c>
      <c r="AT34" s="134">
        <f t="shared" si="4"/>
        <v>2432.3489267805708</v>
      </c>
      <c r="AU34" s="113"/>
      <c r="BK34" s="55">
        <f t="shared" si="18"/>
        <v>2188.7310243459733</v>
      </c>
      <c r="BL34" s="29">
        <f t="shared" si="19"/>
        <v>218.87310243459734</v>
      </c>
      <c r="BM34" s="29">
        <f t="shared" si="20"/>
        <v>0</v>
      </c>
      <c r="BU34" s="50">
        <f t="shared" si="21"/>
        <v>2188.7310243459733</v>
      </c>
      <c r="BV34" s="50">
        <f>+'C&amp;A'!H35+SINDICATO!D35</f>
        <v>2188.7310243459733</v>
      </c>
      <c r="BW34" s="50">
        <f t="shared" si="22"/>
        <v>0</v>
      </c>
      <c r="BX34" s="55" t="s">
        <v>320</v>
      </c>
    </row>
    <row r="35" spans="1:76" s="28" customFormat="1" ht="15.75" hidden="1" x14ac:dyDescent="0.25">
      <c r="A35" s="27" t="s">
        <v>65</v>
      </c>
      <c r="B35" s="28" t="s">
        <v>66</v>
      </c>
      <c r="C35" s="29">
        <v>1200</v>
      </c>
      <c r="D35" s="29">
        <v>125.12056780965156</v>
      </c>
      <c r="E35" s="29">
        <f t="shared" si="5"/>
        <v>1938.1</v>
      </c>
      <c r="F35" s="29"/>
      <c r="G35" s="29"/>
      <c r="H35" s="29">
        <f t="shared" si="6"/>
        <v>0</v>
      </c>
      <c r="I35" s="29"/>
      <c r="J35" s="29"/>
      <c r="K35" s="50"/>
      <c r="L35" s="29">
        <f t="shared" si="7"/>
        <v>215.92</v>
      </c>
      <c r="M35" s="29">
        <f t="shared" si="8"/>
        <v>0</v>
      </c>
      <c r="N35" s="29">
        <f t="shared" si="9"/>
        <v>3047.3005678096515</v>
      </c>
      <c r="O35" s="29">
        <f t="shared" si="10"/>
        <v>326.32205678096517</v>
      </c>
      <c r="P35" s="29">
        <f>+'C&amp;A'!D36*0.02</f>
        <v>21.911999999999999</v>
      </c>
      <c r="Q35" s="29">
        <f t="shared" si="11"/>
        <v>3611.4546245906167</v>
      </c>
      <c r="R35" s="29">
        <f t="shared" si="12"/>
        <v>577.8327399344987</v>
      </c>
      <c r="S35" s="29">
        <f t="shared" si="13"/>
        <v>4189.2873645251157</v>
      </c>
      <c r="T35" s="62">
        <f>+'C&amp;A'!H36+SINDICATO!L36</f>
        <v>2975.1705678096514</v>
      </c>
      <c r="U35" s="29">
        <f t="shared" si="14"/>
        <v>-72.130000000000109</v>
      </c>
      <c r="V35" s="148"/>
      <c r="W35" s="149" t="s">
        <v>250</v>
      </c>
      <c r="X35" s="150" t="s">
        <v>65</v>
      </c>
      <c r="Y35" s="149" t="s">
        <v>123</v>
      </c>
      <c r="Z35" s="149"/>
      <c r="AA35" s="149"/>
      <c r="AB35" s="151">
        <v>1237.2399999999998</v>
      </c>
      <c r="AC35" s="149">
        <v>-37.239999999999782</v>
      </c>
      <c r="AD35" s="151">
        <f t="shared" si="15"/>
        <v>1200</v>
      </c>
      <c r="AE35" s="151">
        <v>1938.1</v>
      </c>
      <c r="AF35" s="151"/>
      <c r="AG35" s="151"/>
      <c r="AH35" s="152"/>
      <c r="AI35" s="134">
        <f t="shared" si="16"/>
        <v>3263.2205678096516</v>
      </c>
      <c r="AJ35" s="151"/>
      <c r="AK35" s="111"/>
      <c r="AL35" s="111"/>
      <c r="AM35" s="153"/>
      <c r="AN35" s="153">
        <v>215.92</v>
      </c>
      <c r="AO35" s="134">
        <f t="shared" si="0"/>
        <v>3047.3005678096515</v>
      </c>
      <c r="AP35" s="111">
        <f t="shared" si="1"/>
        <v>0</v>
      </c>
      <c r="AQ35" s="134">
        <f t="shared" si="2"/>
        <v>3047.3005678096515</v>
      </c>
      <c r="AR35" s="111">
        <f t="shared" si="17"/>
        <v>326.32205678096517</v>
      </c>
      <c r="AS35" s="111">
        <f t="shared" si="3"/>
        <v>24.744799999999998</v>
      </c>
      <c r="AT35" s="134">
        <f t="shared" si="4"/>
        <v>3614.2874245906169</v>
      </c>
      <c r="AU35" s="113"/>
      <c r="BK35" s="55">
        <f t="shared" si="18"/>
        <v>3263.2205678096516</v>
      </c>
      <c r="BL35" s="29">
        <f t="shared" si="19"/>
        <v>326.32205678096517</v>
      </c>
      <c r="BM35" s="29">
        <f t="shared" si="20"/>
        <v>0</v>
      </c>
      <c r="BU35" s="50">
        <f t="shared" si="21"/>
        <v>3263.2205678096516</v>
      </c>
      <c r="BV35" s="50">
        <f>+'C&amp;A'!H36+SINDICATO!D36</f>
        <v>3263.2205678096516</v>
      </c>
      <c r="BW35" s="50">
        <f t="shared" si="22"/>
        <v>0</v>
      </c>
      <c r="BX35" s="55" t="s">
        <v>320</v>
      </c>
    </row>
    <row r="36" spans="1:76" s="28" customFormat="1" ht="15.75" hidden="1" x14ac:dyDescent="0.25">
      <c r="A36" s="27" t="s">
        <v>67</v>
      </c>
      <c r="B36" s="28" t="s">
        <v>68</v>
      </c>
      <c r="C36" s="29">
        <v>1750</v>
      </c>
      <c r="D36" s="29">
        <v>188.73102434597322</v>
      </c>
      <c r="E36" s="29">
        <f t="shared" si="5"/>
        <v>0</v>
      </c>
      <c r="F36" s="29"/>
      <c r="G36" s="29"/>
      <c r="H36" s="29">
        <f t="shared" si="6"/>
        <v>0</v>
      </c>
      <c r="I36" s="29"/>
      <c r="J36" s="29"/>
      <c r="K36" s="50"/>
      <c r="L36" s="29">
        <f t="shared" si="7"/>
        <v>0</v>
      </c>
      <c r="M36" s="29">
        <f t="shared" si="8"/>
        <v>0</v>
      </c>
      <c r="N36" s="29">
        <f t="shared" si="9"/>
        <v>1938.7310243459733</v>
      </c>
      <c r="O36" s="29">
        <f t="shared" si="10"/>
        <v>193.87310243459734</v>
      </c>
      <c r="P36" s="29">
        <f>+'C&amp;A'!D37*0.02</f>
        <v>21.911999999999999</v>
      </c>
      <c r="Q36" s="29">
        <f t="shared" si="11"/>
        <v>2154.5161267805706</v>
      </c>
      <c r="R36" s="29">
        <f t="shared" si="12"/>
        <v>344.72258028489131</v>
      </c>
      <c r="S36" s="29">
        <f t="shared" si="13"/>
        <v>2499.2387070654618</v>
      </c>
      <c r="T36" s="62">
        <f>+'C&amp;A'!H37+SINDICATO!L37</f>
        <v>1938.7310243459733</v>
      </c>
      <c r="U36" s="29">
        <f t="shared" si="14"/>
        <v>0</v>
      </c>
      <c r="V36" s="148"/>
      <c r="W36" s="149" t="s">
        <v>251</v>
      </c>
      <c r="X36" s="150">
        <v>56</v>
      </c>
      <c r="Y36" s="149" t="s">
        <v>252</v>
      </c>
      <c r="Z36" s="149"/>
      <c r="AA36" s="149"/>
      <c r="AB36" s="151">
        <v>1237.2399999999998</v>
      </c>
      <c r="AC36" s="149">
        <v>512.76000000000022</v>
      </c>
      <c r="AD36" s="151">
        <f t="shared" si="15"/>
        <v>1750</v>
      </c>
      <c r="AE36" s="151"/>
      <c r="AF36" s="151"/>
      <c r="AG36" s="151"/>
      <c r="AH36" s="152"/>
      <c r="AI36" s="134">
        <f t="shared" si="16"/>
        <v>1938.7310243459733</v>
      </c>
      <c r="AJ36" s="151"/>
      <c r="AK36" s="111"/>
      <c r="AL36" s="111"/>
      <c r="AM36" s="153"/>
      <c r="AN36" s="153">
        <v>0</v>
      </c>
      <c r="AO36" s="134">
        <f t="shared" si="0"/>
        <v>1938.7310243459733</v>
      </c>
      <c r="AP36" s="111">
        <f t="shared" si="1"/>
        <v>0</v>
      </c>
      <c r="AQ36" s="134">
        <f t="shared" si="2"/>
        <v>1938.7310243459733</v>
      </c>
      <c r="AR36" s="111">
        <f t="shared" si="17"/>
        <v>193.87310243459734</v>
      </c>
      <c r="AS36" s="111">
        <f t="shared" si="3"/>
        <v>24.744799999999998</v>
      </c>
      <c r="AT36" s="134">
        <f t="shared" si="4"/>
        <v>2157.3489267805708</v>
      </c>
      <c r="AU36" s="113"/>
      <c r="BK36" s="55">
        <f t="shared" si="18"/>
        <v>1938.7310243459733</v>
      </c>
      <c r="BL36" s="29">
        <f t="shared" si="19"/>
        <v>193.87310243459734</v>
      </c>
      <c r="BM36" s="29">
        <f t="shared" si="20"/>
        <v>0</v>
      </c>
      <c r="BU36" s="50">
        <f t="shared" si="21"/>
        <v>1938.7310243459733</v>
      </c>
      <c r="BV36" s="50">
        <f>+'C&amp;A'!H37+SINDICATO!D37</f>
        <v>1938.7310243459733</v>
      </c>
      <c r="BW36" s="50">
        <f t="shared" si="22"/>
        <v>0</v>
      </c>
      <c r="BX36" s="55" t="s">
        <v>320</v>
      </c>
    </row>
    <row r="37" spans="1:76" s="28" customFormat="1" ht="15.75" hidden="1" x14ac:dyDescent="0.25">
      <c r="A37" s="27" t="s">
        <v>69</v>
      </c>
      <c r="B37" s="28" t="s">
        <v>70</v>
      </c>
      <c r="C37" s="29">
        <v>2750</v>
      </c>
      <c r="D37" s="29">
        <v>145.37389713135775</v>
      </c>
      <c r="E37" s="29">
        <f t="shared" si="5"/>
        <v>0</v>
      </c>
      <c r="F37" s="29"/>
      <c r="G37" s="29"/>
      <c r="H37" s="29">
        <f t="shared" si="6"/>
        <v>0</v>
      </c>
      <c r="I37" s="29"/>
      <c r="J37" s="29">
        <f>+C37/15</f>
        <v>183.33333333333334</v>
      </c>
      <c r="K37" s="50"/>
      <c r="L37" s="29">
        <f t="shared" si="7"/>
        <v>0</v>
      </c>
      <c r="M37" s="29">
        <f t="shared" si="8"/>
        <v>0</v>
      </c>
      <c r="N37" s="29">
        <f t="shared" si="9"/>
        <v>2712.0405637980243</v>
      </c>
      <c r="O37" s="29">
        <f t="shared" si="10"/>
        <v>289.53738971313578</v>
      </c>
      <c r="P37" s="29">
        <f>+'C&amp;A'!D38*0.02</f>
        <v>21.911999999999999</v>
      </c>
      <c r="Q37" s="29">
        <f t="shared" si="11"/>
        <v>3023.4899535111599</v>
      </c>
      <c r="R37" s="29">
        <f t="shared" si="12"/>
        <v>483.75839256178557</v>
      </c>
      <c r="S37" s="29">
        <f t="shared" si="13"/>
        <v>3507.2483460729454</v>
      </c>
      <c r="T37" s="62">
        <f>+'C&amp;A'!H38+SINDICATO!L38</f>
        <v>2712.0405637980248</v>
      </c>
      <c r="U37" s="29">
        <f t="shared" si="14"/>
        <v>0</v>
      </c>
      <c r="V37" s="148"/>
      <c r="W37" s="149" t="s">
        <v>133</v>
      </c>
      <c r="X37" s="150" t="s">
        <v>69</v>
      </c>
      <c r="Y37" s="149" t="s">
        <v>253</v>
      </c>
      <c r="Z37" s="149" t="s">
        <v>206</v>
      </c>
      <c r="AA37" s="149"/>
      <c r="AB37" s="151">
        <v>1237.2399999999998</v>
      </c>
      <c r="AC37" s="149">
        <v>1512.7600000000002</v>
      </c>
      <c r="AD37" s="151">
        <f t="shared" si="15"/>
        <v>2750</v>
      </c>
      <c r="AE37" s="151"/>
      <c r="AF37" s="151"/>
      <c r="AG37" s="151"/>
      <c r="AH37" s="152"/>
      <c r="AI37" s="134">
        <f t="shared" si="16"/>
        <v>2895.3738971313578</v>
      </c>
      <c r="AJ37" s="151"/>
      <c r="AK37" s="111"/>
      <c r="AL37" s="111"/>
      <c r="AM37" s="153"/>
      <c r="AN37" s="153">
        <v>0</v>
      </c>
      <c r="AO37" s="134">
        <f t="shared" si="0"/>
        <v>2895.3738971313578</v>
      </c>
      <c r="AP37" s="111">
        <f t="shared" si="1"/>
        <v>0</v>
      </c>
      <c r="AQ37" s="134">
        <f t="shared" si="2"/>
        <v>2895.3738971313578</v>
      </c>
      <c r="AR37" s="111">
        <f t="shared" si="17"/>
        <v>289.53738971313578</v>
      </c>
      <c r="AS37" s="111">
        <f t="shared" si="3"/>
        <v>24.744799999999998</v>
      </c>
      <c r="AT37" s="134">
        <f t="shared" si="4"/>
        <v>3209.6560868444935</v>
      </c>
      <c r="AU37" s="154" t="s">
        <v>225</v>
      </c>
      <c r="BK37" s="55">
        <f t="shared" si="18"/>
        <v>2895.3738971313578</v>
      </c>
      <c r="BL37" s="29">
        <f t="shared" si="19"/>
        <v>289.53738971313578</v>
      </c>
      <c r="BM37" s="29">
        <f t="shared" si="20"/>
        <v>0</v>
      </c>
      <c r="BU37" s="50">
        <f t="shared" si="21"/>
        <v>2895.3738971313578</v>
      </c>
      <c r="BV37" s="50">
        <f>+'C&amp;A'!H38+SINDICATO!D38</f>
        <v>2895.3738971313578</v>
      </c>
      <c r="BW37" s="50">
        <f t="shared" si="22"/>
        <v>0</v>
      </c>
      <c r="BX37" s="55" t="s">
        <v>319</v>
      </c>
    </row>
    <row r="38" spans="1:76" s="28" customFormat="1" ht="15.75" hidden="1" x14ac:dyDescent="0.25">
      <c r="A38" s="27" t="s">
        <v>71</v>
      </c>
      <c r="B38" s="28" t="s">
        <v>72</v>
      </c>
      <c r="C38" s="29">
        <v>3500</v>
      </c>
      <c r="D38" s="29">
        <v>125.12056780965156</v>
      </c>
      <c r="E38" s="29">
        <f t="shared" si="5"/>
        <v>0</v>
      </c>
      <c r="F38" s="29"/>
      <c r="G38" s="29"/>
      <c r="H38" s="29">
        <f t="shared" si="6"/>
        <v>0</v>
      </c>
      <c r="I38" s="29"/>
      <c r="J38" s="29"/>
      <c r="K38" s="50"/>
      <c r="L38" s="29">
        <f t="shared" si="7"/>
        <v>357.22</v>
      </c>
      <c r="M38" s="29">
        <f t="shared" si="8"/>
        <v>0</v>
      </c>
      <c r="N38" s="29">
        <f t="shared" si="9"/>
        <v>3267.9005678096519</v>
      </c>
      <c r="O38" s="29">
        <f t="shared" si="10"/>
        <v>362.51205678096517</v>
      </c>
      <c r="P38" s="29">
        <f>+'C&amp;A'!D39*0.02</f>
        <v>21.911999999999999</v>
      </c>
      <c r="Q38" s="29">
        <f t="shared" si="11"/>
        <v>4009.5446245906164</v>
      </c>
      <c r="R38" s="29">
        <f t="shared" si="12"/>
        <v>641.52713993449868</v>
      </c>
      <c r="S38" s="29">
        <f t="shared" si="13"/>
        <v>4651.0717645251152</v>
      </c>
      <c r="T38" s="62">
        <f>+'C&amp;A'!H39+SINDICATO!L39</f>
        <v>3267.9005678096514</v>
      </c>
      <c r="U38" s="29">
        <f t="shared" si="14"/>
        <v>0</v>
      </c>
      <c r="V38" s="148"/>
      <c r="W38" s="149" t="s">
        <v>256</v>
      </c>
      <c r="X38" s="149">
        <v>23</v>
      </c>
      <c r="Y38" s="149" t="s">
        <v>257</v>
      </c>
      <c r="Z38" s="149"/>
      <c r="AA38" s="149"/>
      <c r="AB38" s="151">
        <v>1237.2399999999998</v>
      </c>
      <c r="AC38" s="149">
        <v>2262.7600000000002</v>
      </c>
      <c r="AD38" s="151">
        <f>+AB38+AC38</f>
        <v>3500</v>
      </c>
      <c r="AE38" s="151"/>
      <c r="AF38" s="151"/>
      <c r="AG38" s="151"/>
      <c r="AH38" s="152"/>
      <c r="AI38" s="134">
        <f t="shared" si="16"/>
        <v>3625.1205678096517</v>
      </c>
      <c r="AJ38" s="151"/>
      <c r="AK38" s="111"/>
      <c r="AL38" s="111"/>
      <c r="AM38" s="153"/>
      <c r="AN38" s="153">
        <v>357.22</v>
      </c>
      <c r="AO38" s="134">
        <f>+AI38-SUM(AJ38:AN38)</f>
        <v>3267.9005678096519</v>
      </c>
      <c r="AP38" s="111">
        <f>IF(AI38&gt;4500,AI38*0.1,0)</f>
        <v>0</v>
      </c>
      <c r="AQ38" s="134">
        <f>+AO38-AP38</f>
        <v>3267.9005678096519</v>
      </c>
      <c r="AR38" s="111">
        <f>IF(AI38&lt;4500,AI38*0.1,0)</f>
        <v>362.51205678096517</v>
      </c>
      <c r="AS38" s="111">
        <f>AB38*0.02</f>
        <v>24.744799999999998</v>
      </c>
      <c r="AT38" s="134">
        <f>+AI38+AR38+AS38</f>
        <v>4012.3774245906166</v>
      </c>
      <c r="AU38" s="113"/>
      <c r="BK38" s="55">
        <f t="shared" si="18"/>
        <v>3625.1205678096517</v>
      </c>
      <c r="BL38" s="29">
        <f t="shared" si="19"/>
        <v>362.51205678096517</v>
      </c>
      <c r="BM38" s="29">
        <f t="shared" si="20"/>
        <v>0</v>
      </c>
      <c r="BU38" s="50">
        <f t="shared" si="21"/>
        <v>3625.1205678096517</v>
      </c>
      <c r="BV38" s="50">
        <f>+'C&amp;A'!H39+SINDICATO!D39</f>
        <v>3625.1205678096512</v>
      </c>
      <c r="BW38" s="50">
        <f t="shared" si="22"/>
        <v>0</v>
      </c>
      <c r="BX38" s="55" t="s">
        <v>320</v>
      </c>
    </row>
    <row r="39" spans="1:76" s="28" customFormat="1" ht="15.75" hidden="1" x14ac:dyDescent="0.25">
      <c r="A39" s="27" t="s">
        <v>73</v>
      </c>
      <c r="B39" s="28" t="s">
        <v>74</v>
      </c>
      <c r="C39" s="29">
        <v>2000</v>
      </c>
      <c r="D39" s="29">
        <v>188.73102434597322</v>
      </c>
      <c r="E39" s="64">
        <v>1620</v>
      </c>
      <c r="F39" s="29"/>
      <c r="G39" s="29"/>
      <c r="H39" s="29">
        <f t="shared" si="6"/>
        <v>0</v>
      </c>
      <c r="I39" s="29"/>
      <c r="J39" s="29"/>
      <c r="K39" s="50"/>
      <c r="L39" s="29">
        <f t="shared" si="7"/>
        <v>0</v>
      </c>
      <c r="M39" s="29">
        <f t="shared" si="8"/>
        <v>0</v>
      </c>
      <c r="N39" s="29">
        <f t="shared" si="9"/>
        <v>3808.7310243459733</v>
      </c>
      <c r="O39" s="29">
        <f t="shared" si="10"/>
        <v>380.87310243459734</v>
      </c>
      <c r="P39" s="29">
        <f>+'C&amp;A'!D40*0.02</f>
        <v>21.911999999999999</v>
      </c>
      <c r="Q39" s="29">
        <f t="shared" si="11"/>
        <v>4211.5161267805706</v>
      </c>
      <c r="R39" s="29">
        <f t="shared" si="12"/>
        <v>673.84258028489137</v>
      </c>
      <c r="S39" s="29">
        <f t="shared" si="13"/>
        <v>4885.3587070654621</v>
      </c>
      <c r="T39" s="62">
        <f>+'C&amp;A'!H40+SINDICATO!L40</f>
        <v>3808.7310243459733</v>
      </c>
      <c r="U39" s="29">
        <f t="shared" si="14"/>
        <v>0</v>
      </c>
      <c r="V39" s="148"/>
      <c r="W39" s="149" t="s">
        <v>254</v>
      </c>
      <c r="X39" s="150">
        <v>12</v>
      </c>
      <c r="Y39" s="149" t="s">
        <v>247</v>
      </c>
      <c r="Z39" s="149"/>
      <c r="AA39" s="149"/>
      <c r="AB39" s="151">
        <v>1237.2399999999998</v>
      </c>
      <c r="AC39" s="149">
        <v>762.76000000000022</v>
      </c>
      <c r="AD39" s="151">
        <f t="shared" si="15"/>
        <v>2000</v>
      </c>
      <c r="AE39" s="151"/>
      <c r="AF39" s="113"/>
      <c r="AG39" s="151"/>
      <c r="AH39" s="152"/>
      <c r="AI39" s="134">
        <f t="shared" si="16"/>
        <v>2188.7310243459733</v>
      </c>
      <c r="AJ39" s="151"/>
      <c r="AK39" s="111"/>
      <c r="AL39" s="111"/>
      <c r="AM39" s="153"/>
      <c r="AN39" s="153">
        <v>0</v>
      </c>
      <c r="AO39" s="134">
        <f t="shared" si="0"/>
        <v>2188.7310243459733</v>
      </c>
      <c r="AP39" s="111">
        <f t="shared" si="1"/>
        <v>0</v>
      </c>
      <c r="AQ39" s="134">
        <f t="shared" si="2"/>
        <v>2188.7310243459733</v>
      </c>
      <c r="AR39" s="111">
        <f t="shared" si="17"/>
        <v>218.87310243459734</v>
      </c>
      <c r="AS39" s="111">
        <f t="shared" si="3"/>
        <v>24.744799999999998</v>
      </c>
      <c r="AT39" s="134">
        <f t="shared" si="4"/>
        <v>2432.3489267805708</v>
      </c>
      <c r="AU39" s="130"/>
      <c r="BK39" s="55">
        <f t="shared" si="18"/>
        <v>3808.7310243459733</v>
      </c>
      <c r="BL39" s="29">
        <f t="shared" si="19"/>
        <v>380.87310243459734</v>
      </c>
      <c r="BM39" s="29">
        <f t="shared" si="20"/>
        <v>0</v>
      </c>
      <c r="BU39" s="50">
        <f t="shared" si="21"/>
        <v>3808.7310243459733</v>
      </c>
      <c r="BV39" s="50">
        <f>+'C&amp;A'!H40+SINDICATO!D40</f>
        <v>3808.7310243459733</v>
      </c>
      <c r="BW39" s="50">
        <f t="shared" si="22"/>
        <v>0</v>
      </c>
      <c r="BX39" s="55" t="s">
        <v>318</v>
      </c>
    </row>
    <row r="40" spans="1:76" s="28" customFormat="1" ht="15.75" hidden="1" x14ac:dyDescent="0.25">
      <c r="A40" s="27" t="s">
        <v>159</v>
      </c>
      <c r="B40" s="28" t="s">
        <v>160</v>
      </c>
      <c r="C40" s="29">
        <v>5000</v>
      </c>
      <c r="D40" s="29">
        <v>0</v>
      </c>
      <c r="E40" s="64">
        <v>500</v>
      </c>
      <c r="F40" s="29"/>
      <c r="G40" s="29"/>
      <c r="H40" s="29">
        <f t="shared" si="6"/>
        <v>0</v>
      </c>
      <c r="I40" s="29"/>
      <c r="J40" s="29"/>
      <c r="K40" s="50"/>
      <c r="L40" s="29">
        <f t="shared" si="7"/>
        <v>0</v>
      </c>
      <c r="M40" s="29">
        <f t="shared" si="8"/>
        <v>500</v>
      </c>
      <c r="N40" s="29">
        <f t="shared" si="9"/>
        <v>5000</v>
      </c>
      <c r="O40" s="29">
        <f t="shared" si="10"/>
        <v>0</v>
      </c>
      <c r="P40" s="29">
        <f>+'C&amp;A'!D41*0.02</f>
        <v>21.911999999999999</v>
      </c>
      <c r="Q40" s="29">
        <f t="shared" si="11"/>
        <v>5521.9120000000003</v>
      </c>
      <c r="R40" s="29">
        <f t="shared" si="12"/>
        <v>883.50592000000006</v>
      </c>
      <c r="S40" s="29">
        <f t="shared" si="13"/>
        <v>6405.4179199999999</v>
      </c>
      <c r="T40" s="62">
        <f>+'C&amp;A'!H41+SINDICATO!L41</f>
        <v>4950</v>
      </c>
      <c r="U40" s="29">
        <f t="shared" si="14"/>
        <v>-50</v>
      </c>
      <c r="V40" s="148"/>
      <c r="W40" s="149" t="s">
        <v>259</v>
      </c>
      <c r="X40" s="149" t="s">
        <v>159</v>
      </c>
      <c r="Y40" s="149" t="s">
        <v>211</v>
      </c>
      <c r="Z40" s="149"/>
      <c r="AA40" s="149"/>
      <c r="AB40" s="151">
        <v>1237.2399999999998</v>
      </c>
      <c r="AC40" s="149">
        <v>3762.76</v>
      </c>
      <c r="AD40" s="151">
        <f t="shared" si="15"/>
        <v>5000</v>
      </c>
      <c r="AE40" s="151"/>
      <c r="AF40" s="151"/>
      <c r="AG40" s="151"/>
      <c r="AH40" s="152"/>
      <c r="AI40" s="134">
        <f t="shared" si="16"/>
        <v>5000</v>
      </c>
      <c r="AJ40" s="151"/>
      <c r="AK40" s="111"/>
      <c r="AL40" s="111"/>
      <c r="AM40" s="153"/>
      <c r="AN40" s="153">
        <v>0</v>
      </c>
      <c r="AO40" s="134">
        <f t="shared" si="0"/>
        <v>5000</v>
      </c>
      <c r="AP40" s="111">
        <f t="shared" si="1"/>
        <v>500</v>
      </c>
      <c r="AQ40" s="134">
        <f t="shared" si="2"/>
        <v>4500</v>
      </c>
      <c r="AR40" s="111">
        <f t="shared" si="17"/>
        <v>0</v>
      </c>
      <c r="AS40" s="111">
        <f t="shared" si="3"/>
        <v>24.744799999999998</v>
      </c>
      <c r="AT40" s="134">
        <f t="shared" si="4"/>
        <v>5024.7448000000004</v>
      </c>
      <c r="AU40" s="113"/>
      <c r="BK40" s="55">
        <f t="shared" si="18"/>
        <v>5500</v>
      </c>
      <c r="BL40" s="29">
        <f t="shared" si="19"/>
        <v>0</v>
      </c>
      <c r="BM40" s="29">
        <f t="shared" si="20"/>
        <v>550</v>
      </c>
      <c r="BU40" s="50">
        <f t="shared" si="21"/>
        <v>5500</v>
      </c>
      <c r="BV40" s="50">
        <f>+'C&amp;A'!H41+SINDICATO!D41</f>
        <v>5500</v>
      </c>
      <c r="BW40" s="50">
        <f t="shared" si="22"/>
        <v>0</v>
      </c>
      <c r="BX40" s="55" t="s">
        <v>319</v>
      </c>
    </row>
    <row r="41" spans="1:76" s="28" customFormat="1" ht="15.75" x14ac:dyDescent="0.25">
      <c r="A41" s="27" t="s">
        <v>75</v>
      </c>
      <c r="B41" s="28" t="s">
        <v>76</v>
      </c>
      <c r="C41" s="29">
        <v>1750</v>
      </c>
      <c r="D41" s="29">
        <v>0</v>
      </c>
      <c r="E41" s="29">
        <f t="shared" si="5"/>
        <v>2441.83</v>
      </c>
      <c r="F41" s="29"/>
      <c r="G41" s="29"/>
      <c r="H41" s="29">
        <f t="shared" si="6"/>
        <v>0</v>
      </c>
      <c r="I41" s="29"/>
      <c r="J41" s="29"/>
      <c r="K41" s="50"/>
      <c r="L41" s="29">
        <f t="shared" si="7"/>
        <v>0</v>
      </c>
      <c r="M41" s="29">
        <f t="shared" si="8"/>
        <v>0</v>
      </c>
      <c r="N41" s="29">
        <f t="shared" si="9"/>
        <v>4191.83</v>
      </c>
      <c r="O41" s="29">
        <f t="shared" si="10"/>
        <v>419.18299999999999</v>
      </c>
      <c r="P41" s="29">
        <f>+'C&amp;A'!D42*0.02</f>
        <v>21.911999999999999</v>
      </c>
      <c r="Q41" s="29">
        <f t="shared" si="11"/>
        <v>4632.9250000000002</v>
      </c>
      <c r="R41" s="29">
        <f t="shared" si="12"/>
        <v>741.26800000000003</v>
      </c>
      <c r="S41" s="29">
        <f t="shared" si="13"/>
        <v>5374.1930000000002</v>
      </c>
      <c r="T41" s="62">
        <f>+'C&amp;A'!H42+SINDICATO!L42</f>
        <v>4191.83</v>
      </c>
      <c r="U41" s="29">
        <f t="shared" si="14"/>
        <v>0</v>
      </c>
      <c r="V41" s="148"/>
      <c r="W41" s="149" t="s">
        <v>260</v>
      </c>
      <c r="X41" s="150" t="s">
        <v>75</v>
      </c>
      <c r="Y41" s="149" t="s">
        <v>261</v>
      </c>
      <c r="Z41" s="149"/>
      <c r="AA41" s="149"/>
      <c r="AB41" s="151">
        <v>1237.2399999999998</v>
      </c>
      <c r="AC41" s="149">
        <v>512.76000000000022</v>
      </c>
      <c r="AD41" s="151">
        <f t="shared" si="15"/>
        <v>1750</v>
      </c>
      <c r="AE41" s="151">
        <v>2441.83</v>
      </c>
      <c r="AF41" s="151"/>
      <c r="AG41" s="151"/>
      <c r="AH41" s="152"/>
      <c r="AI41" s="134">
        <f t="shared" si="16"/>
        <v>4191.83</v>
      </c>
      <c r="AJ41" s="151"/>
      <c r="AK41" s="111"/>
      <c r="AL41" s="111"/>
      <c r="AM41" s="153"/>
      <c r="AN41" s="153">
        <v>0</v>
      </c>
      <c r="AO41" s="134">
        <f t="shared" si="0"/>
        <v>4191.83</v>
      </c>
      <c r="AP41" s="111">
        <f t="shared" si="1"/>
        <v>0</v>
      </c>
      <c r="AQ41" s="134">
        <f t="shared" si="2"/>
        <v>4191.83</v>
      </c>
      <c r="AR41" s="111">
        <f t="shared" si="17"/>
        <v>419.18299999999999</v>
      </c>
      <c r="AS41" s="111">
        <f t="shared" si="3"/>
        <v>24.744799999999998</v>
      </c>
      <c r="AT41" s="134">
        <f t="shared" si="4"/>
        <v>4635.7578000000003</v>
      </c>
      <c r="AU41" s="113"/>
      <c r="BK41" s="55">
        <f t="shared" si="18"/>
        <v>4191.83</v>
      </c>
      <c r="BL41" s="29">
        <f t="shared" si="19"/>
        <v>419.18299999999999</v>
      </c>
      <c r="BM41" s="29">
        <f t="shared" si="20"/>
        <v>0</v>
      </c>
      <c r="BU41" s="50">
        <f t="shared" si="21"/>
        <v>4191.83</v>
      </c>
      <c r="BV41" s="50">
        <f>+'C&amp;A'!H42+SINDICATO!D42</f>
        <v>4191.83</v>
      </c>
      <c r="BW41" s="50">
        <f t="shared" si="22"/>
        <v>0</v>
      </c>
      <c r="BX41" s="55" t="s">
        <v>317</v>
      </c>
    </row>
    <row r="42" spans="1:76" s="28" customFormat="1" ht="15.75" x14ac:dyDescent="0.25">
      <c r="A42" s="27" t="s">
        <v>77</v>
      </c>
      <c r="B42" s="28" t="s">
        <v>78</v>
      </c>
      <c r="C42" s="29">
        <v>1000</v>
      </c>
      <c r="D42" s="29">
        <v>200.73299727735468</v>
      </c>
      <c r="E42" s="29">
        <f t="shared" si="5"/>
        <v>0</v>
      </c>
      <c r="F42" s="29"/>
      <c r="G42" s="29"/>
      <c r="H42" s="29">
        <f t="shared" si="6"/>
        <v>0</v>
      </c>
      <c r="I42" s="29"/>
      <c r="J42" s="29"/>
      <c r="K42" s="50"/>
      <c r="L42" s="29">
        <f t="shared" si="7"/>
        <v>0</v>
      </c>
      <c r="M42" s="29">
        <f t="shared" si="8"/>
        <v>0</v>
      </c>
      <c r="N42" s="29">
        <f t="shared" si="9"/>
        <v>1200.7329972773546</v>
      </c>
      <c r="O42" s="29">
        <f t="shared" si="10"/>
        <v>120.07329972773546</v>
      </c>
      <c r="P42" s="29">
        <f>+'C&amp;A'!D43*0.02</f>
        <v>18.990400000000001</v>
      </c>
      <c r="Q42" s="29">
        <f t="shared" si="11"/>
        <v>1339.79669700509</v>
      </c>
      <c r="R42" s="29">
        <f t="shared" si="12"/>
        <v>214.36747152081441</v>
      </c>
      <c r="S42" s="29">
        <f t="shared" si="13"/>
        <v>1554.1641685259044</v>
      </c>
      <c r="T42" s="62">
        <f>+'C&amp;A'!H43+SINDICATO!L43</f>
        <v>1063.9129972773546</v>
      </c>
      <c r="U42" s="29">
        <f t="shared" si="14"/>
        <v>-136.81999999999994</v>
      </c>
      <c r="V42" s="148"/>
      <c r="W42" s="149" t="s">
        <v>262</v>
      </c>
      <c r="X42" s="150" t="s">
        <v>77</v>
      </c>
      <c r="Y42" s="149" t="s">
        <v>208</v>
      </c>
      <c r="Z42" s="149"/>
      <c r="AA42" s="149"/>
      <c r="AB42" s="151">
        <v>1000</v>
      </c>
      <c r="AC42" s="149"/>
      <c r="AD42" s="151">
        <f t="shared" si="15"/>
        <v>1000</v>
      </c>
      <c r="AE42" s="151"/>
      <c r="AF42" s="151"/>
      <c r="AG42" s="151"/>
      <c r="AH42" s="152"/>
      <c r="AI42" s="134">
        <f t="shared" si="16"/>
        <v>1200.7329972773546</v>
      </c>
      <c r="AJ42" s="151"/>
      <c r="AK42" s="111"/>
      <c r="AL42" s="111"/>
      <c r="AM42" s="153"/>
      <c r="AN42" s="153">
        <v>0</v>
      </c>
      <c r="AO42" s="134">
        <f t="shared" si="0"/>
        <v>1200.7329972773546</v>
      </c>
      <c r="AP42" s="111">
        <f t="shared" si="1"/>
        <v>0</v>
      </c>
      <c r="AQ42" s="134">
        <f t="shared" si="2"/>
        <v>1200.7329972773546</v>
      </c>
      <c r="AR42" s="111">
        <f t="shared" si="17"/>
        <v>120.07329972773546</v>
      </c>
      <c r="AS42" s="111">
        <f t="shared" si="3"/>
        <v>20</v>
      </c>
      <c r="AT42" s="134">
        <f t="shared" si="4"/>
        <v>1340.8062970050901</v>
      </c>
      <c r="AU42" s="113"/>
      <c r="BK42" s="55">
        <f t="shared" si="18"/>
        <v>1200.7329972773546</v>
      </c>
      <c r="BL42" s="29">
        <f t="shared" si="19"/>
        <v>120.07329972773546</v>
      </c>
      <c r="BM42" s="29">
        <f t="shared" si="20"/>
        <v>0</v>
      </c>
      <c r="BU42" s="50">
        <f t="shared" si="21"/>
        <v>1200.7329972773546</v>
      </c>
      <c r="BV42" s="50">
        <f>+'C&amp;A'!H43+SINDICATO!D43</f>
        <v>1200.7329972773546</v>
      </c>
      <c r="BW42" s="50">
        <f t="shared" si="22"/>
        <v>0</v>
      </c>
      <c r="BX42" s="55" t="s">
        <v>317</v>
      </c>
    </row>
    <row r="43" spans="1:76" s="28" customFormat="1" ht="15.75" hidden="1" x14ac:dyDescent="0.25">
      <c r="A43" s="27" t="s">
        <v>79</v>
      </c>
      <c r="B43" s="28" t="s">
        <v>80</v>
      </c>
      <c r="C43" s="29">
        <v>3500</v>
      </c>
      <c r="D43" s="29">
        <v>125.12056780965156</v>
      </c>
      <c r="E43" s="29">
        <f t="shared" si="5"/>
        <v>0</v>
      </c>
      <c r="F43" s="29"/>
      <c r="G43" s="29"/>
      <c r="H43" s="29">
        <f t="shared" si="6"/>
        <v>0</v>
      </c>
      <c r="I43" s="29"/>
      <c r="J43" s="29"/>
      <c r="K43" s="50"/>
      <c r="L43" s="29">
        <f t="shared" si="7"/>
        <v>878.82</v>
      </c>
      <c r="M43" s="29">
        <f t="shared" si="8"/>
        <v>0</v>
      </c>
      <c r="N43" s="29">
        <f t="shared" si="9"/>
        <v>2746.3005678096515</v>
      </c>
      <c r="O43" s="29">
        <f t="shared" si="10"/>
        <v>362.51205678096517</v>
      </c>
      <c r="P43" s="29">
        <f>+'C&amp;A'!D44*0.02</f>
        <v>21.911999999999999</v>
      </c>
      <c r="Q43" s="29">
        <f t="shared" si="11"/>
        <v>4009.5446245906164</v>
      </c>
      <c r="R43" s="29">
        <f t="shared" si="12"/>
        <v>641.52713993449868</v>
      </c>
      <c r="S43" s="29">
        <f t="shared" si="13"/>
        <v>4651.0717645251152</v>
      </c>
      <c r="T43" s="62">
        <f>+'C&amp;A'!H44+SINDICATO!L44</f>
        <v>2746.3005678096515</v>
      </c>
      <c r="U43" s="29">
        <f t="shared" si="14"/>
        <v>0</v>
      </c>
      <c r="V43" s="148"/>
      <c r="W43" s="149" t="s">
        <v>264</v>
      </c>
      <c r="X43" s="150">
        <v>9</v>
      </c>
      <c r="Y43" s="149" t="s">
        <v>263</v>
      </c>
      <c r="Z43" s="149"/>
      <c r="AA43" s="149"/>
      <c r="AB43" s="151">
        <v>1237.2399999999998</v>
      </c>
      <c r="AC43" s="149">
        <v>2262.7600000000002</v>
      </c>
      <c r="AD43" s="151">
        <f t="shared" si="15"/>
        <v>3500</v>
      </c>
      <c r="AE43" s="151"/>
      <c r="AF43" s="151"/>
      <c r="AG43" s="151"/>
      <c r="AH43" s="152"/>
      <c r="AI43" s="134">
        <f t="shared" si="16"/>
        <v>3625.1205678096517</v>
      </c>
      <c r="AJ43" s="151"/>
      <c r="AK43" s="111"/>
      <c r="AL43" s="111"/>
      <c r="AM43" s="153"/>
      <c r="AN43" s="153">
        <v>878.82</v>
      </c>
      <c r="AO43" s="134">
        <f t="shared" si="0"/>
        <v>2746.3005678096515</v>
      </c>
      <c r="AP43" s="111">
        <f t="shared" si="1"/>
        <v>0</v>
      </c>
      <c r="AQ43" s="134">
        <f t="shared" si="2"/>
        <v>2746.3005678096515</v>
      </c>
      <c r="AR43" s="111">
        <f t="shared" si="17"/>
        <v>362.51205678096517</v>
      </c>
      <c r="AS43" s="111">
        <f t="shared" si="3"/>
        <v>24.744799999999998</v>
      </c>
      <c r="AT43" s="134">
        <f t="shared" si="4"/>
        <v>4012.3774245906166</v>
      </c>
      <c r="AU43" s="113"/>
      <c r="BK43" s="55">
        <f t="shared" si="18"/>
        <v>3625.1205678096517</v>
      </c>
      <c r="BL43" s="29">
        <f t="shared" si="19"/>
        <v>362.51205678096517</v>
      </c>
      <c r="BM43" s="29">
        <f t="shared" si="20"/>
        <v>0</v>
      </c>
      <c r="BU43" s="50">
        <f t="shared" si="21"/>
        <v>3625.1205678096517</v>
      </c>
      <c r="BV43" s="50">
        <f>+'C&amp;A'!H44+SINDICATO!D44</f>
        <v>3625.1205678096512</v>
      </c>
      <c r="BW43" s="50">
        <f t="shared" si="22"/>
        <v>0</v>
      </c>
      <c r="BX43" s="55" t="s">
        <v>321</v>
      </c>
    </row>
    <row r="44" spans="1:76" s="28" customFormat="1" ht="15.75" hidden="1" x14ac:dyDescent="0.25">
      <c r="A44" s="27" t="s">
        <v>81</v>
      </c>
      <c r="B44" s="28" t="s">
        <v>82</v>
      </c>
      <c r="C44" s="29">
        <v>3500</v>
      </c>
      <c r="D44" s="29">
        <v>125.12056780965156</v>
      </c>
      <c r="E44" s="29">
        <f t="shared" si="5"/>
        <v>0</v>
      </c>
      <c r="F44" s="29"/>
      <c r="G44" s="29"/>
      <c r="H44" s="29">
        <f t="shared" si="6"/>
        <v>0</v>
      </c>
      <c r="I44" s="29"/>
      <c r="J44" s="29"/>
      <c r="K44" s="50"/>
      <c r="L44" s="29">
        <f t="shared" si="7"/>
        <v>0</v>
      </c>
      <c r="M44" s="29">
        <f t="shared" si="8"/>
        <v>0</v>
      </c>
      <c r="N44" s="29">
        <f t="shared" si="9"/>
        <v>3625.1205678096517</v>
      </c>
      <c r="O44" s="29">
        <f t="shared" si="10"/>
        <v>362.51205678096517</v>
      </c>
      <c r="P44" s="29">
        <f>+'C&amp;A'!D45*0.02</f>
        <v>21.911999999999999</v>
      </c>
      <c r="Q44" s="29">
        <f t="shared" si="11"/>
        <v>4009.5446245906164</v>
      </c>
      <c r="R44" s="29">
        <f t="shared" si="12"/>
        <v>641.52713993449868</v>
      </c>
      <c r="S44" s="29">
        <f t="shared" si="13"/>
        <v>4651.0717645251152</v>
      </c>
      <c r="T44" s="62">
        <f>+'C&amp;A'!H45+SINDICATO!L45</f>
        <v>3625.1205678096512</v>
      </c>
      <c r="U44" s="29">
        <f t="shared" si="14"/>
        <v>0</v>
      </c>
      <c r="V44" s="148"/>
      <c r="W44" s="149" t="s">
        <v>265</v>
      </c>
      <c r="X44" s="149" t="s">
        <v>81</v>
      </c>
      <c r="Y44" s="149" t="s">
        <v>266</v>
      </c>
      <c r="Z44" s="149"/>
      <c r="AA44" s="149"/>
      <c r="AB44" s="151">
        <v>1237.2399999999998</v>
      </c>
      <c r="AC44" s="149">
        <v>2262.7600000000002</v>
      </c>
      <c r="AD44" s="151">
        <f t="shared" si="15"/>
        <v>3500</v>
      </c>
      <c r="AE44" s="151"/>
      <c r="AF44" s="151"/>
      <c r="AG44" s="151"/>
      <c r="AH44" s="152"/>
      <c r="AI44" s="134">
        <f t="shared" si="16"/>
        <v>3625.1205678096517</v>
      </c>
      <c r="AJ44" s="151"/>
      <c r="AK44" s="111"/>
      <c r="AL44" s="111"/>
      <c r="AM44" s="153"/>
      <c r="AN44" s="153"/>
      <c r="AO44" s="134">
        <f t="shared" si="0"/>
        <v>3625.1205678096517</v>
      </c>
      <c r="AP44" s="111">
        <f t="shared" si="1"/>
        <v>0</v>
      </c>
      <c r="AQ44" s="134">
        <f t="shared" si="2"/>
        <v>3625.1205678096517</v>
      </c>
      <c r="AR44" s="111">
        <f t="shared" si="17"/>
        <v>362.51205678096517</v>
      </c>
      <c r="AS44" s="111">
        <f t="shared" si="3"/>
        <v>24.744799999999998</v>
      </c>
      <c r="AT44" s="134">
        <f t="shared" si="4"/>
        <v>4012.3774245906166</v>
      </c>
      <c r="AU44" s="113"/>
      <c r="BK44" s="55">
        <f t="shared" si="18"/>
        <v>3625.1205678096517</v>
      </c>
      <c r="BL44" s="29">
        <f t="shared" si="19"/>
        <v>362.51205678096517</v>
      </c>
      <c r="BM44" s="29">
        <f t="shared" si="20"/>
        <v>0</v>
      </c>
      <c r="BU44" s="50">
        <f t="shared" si="21"/>
        <v>3625.1205678096517</v>
      </c>
      <c r="BV44" s="50">
        <f>+'C&amp;A'!H45+SINDICATO!D45</f>
        <v>3625.1205678096512</v>
      </c>
      <c r="BW44" s="50">
        <f t="shared" si="22"/>
        <v>0</v>
      </c>
      <c r="BX44" s="55" t="s">
        <v>320</v>
      </c>
    </row>
    <row r="45" spans="1:76" s="28" customFormat="1" ht="15.75" hidden="1" x14ac:dyDescent="0.25">
      <c r="A45" s="27" t="s">
        <v>83</v>
      </c>
      <c r="B45" s="28" t="s">
        <v>84</v>
      </c>
      <c r="C45" s="29">
        <v>5000</v>
      </c>
      <c r="D45" s="29">
        <v>0</v>
      </c>
      <c r="E45" s="29">
        <f t="shared" si="5"/>
        <v>0</v>
      </c>
      <c r="F45" s="29"/>
      <c r="G45" s="29"/>
      <c r="H45" s="29">
        <f t="shared" si="6"/>
        <v>0</v>
      </c>
      <c r="I45" s="29"/>
      <c r="J45" s="29"/>
      <c r="K45" s="50"/>
      <c r="L45" s="29">
        <f t="shared" si="7"/>
        <v>0</v>
      </c>
      <c r="M45" s="29">
        <f t="shared" si="8"/>
        <v>500</v>
      </c>
      <c r="N45" s="29">
        <f t="shared" si="9"/>
        <v>4500</v>
      </c>
      <c r="O45" s="29">
        <f t="shared" si="10"/>
        <v>0</v>
      </c>
      <c r="P45" s="29">
        <f>+'C&amp;A'!D46*0.02</f>
        <v>21.911999999999999</v>
      </c>
      <c r="Q45" s="29">
        <f t="shared" si="11"/>
        <v>5021.9120000000003</v>
      </c>
      <c r="R45" s="29">
        <f t="shared" si="12"/>
        <v>803.50592000000006</v>
      </c>
      <c r="S45" s="29">
        <f t="shared" si="13"/>
        <v>5825.4179199999999</v>
      </c>
      <c r="T45" s="62">
        <f>+'C&amp;A'!H46+SINDICATO!L46</f>
        <v>4463.9000000000005</v>
      </c>
      <c r="U45" s="29">
        <f t="shared" si="14"/>
        <v>-36.099999999999454</v>
      </c>
      <c r="V45" s="148"/>
      <c r="W45" s="149" t="s">
        <v>138</v>
      </c>
      <c r="X45" s="150">
        <v>13</v>
      </c>
      <c r="Y45" s="149" t="s">
        <v>267</v>
      </c>
      <c r="Z45" s="149"/>
      <c r="AA45" s="149"/>
      <c r="AB45" s="151">
        <v>1237.2399999999998</v>
      </c>
      <c r="AC45" s="149">
        <v>3762.76</v>
      </c>
      <c r="AD45" s="151">
        <f t="shared" si="15"/>
        <v>5000</v>
      </c>
      <c r="AE45" s="151"/>
      <c r="AF45" s="151"/>
      <c r="AG45" s="151"/>
      <c r="AH45" s="152"/>
      <c r="AI45" s="134">
        <f t="shared" si="16"/>
        <v>5000</v>
      </c>
      <c r="AJ45" s="151"/>
      <c r="AK45" s="111"/>
      <c r="AL45" s="111"/>
      <c r="AM45" s="153"/>
      <c r="AN45" s="153">
        <v>0</v>
      </c>
      <c r="AO45" s="134">
        <f t="shared" si="0"/>
        <v>5000</v>
      </c>
      <c r="AP45" s="111">
        <f t="shared" si="1"/>
        <v>500</v>
      </c>
      <c r="AQ45" s="134">
        <f t="shared" si="2"/>
        <v>4500</v>
      </c>
      <c r="AR45" s="111">
        <f t="shared" si="17"/>
        <v>0</v>
      </c>
      <c r="AS45" s="111">
        <f t="shared" si="3"/>
        <v>24.744799999999998</v>
      </c>
      <c r="AT45" s="134">
        <f t="shared" si="4"/>
        <v>5024.7448000000004</v>
      </c>
      <c r="AU45" s="113"/>
      <c r="BK45" s="55">
        <f t="shared" si="18"/>
        <v>5000</v>
      </c>
      <c r="BL45" s="29">
        <f t="shared" si="19"/>
        <v>0</v>
      </c>
      <c r="BM45" s="29">
        <f t="shared" si="20"/>
        <v>500</v>
      </c>
      <c r="BU45" s="50">
        <f t="shared" si="21"/>
        <v>5000</v>
      </c>
      <c r="BV45" s="50">
        <f>+'C&amp;A'!H46+SINDICATO!D46</f>
        <v>5000</v>
      </c>
      <c r="BW45" s="50">
        <f t="shared" si="22"/>
        <v>0</v>
      </c>
      <c r="BX45" s="55" t="s">
        <v>318</v>
      </c>
    </row>
    <row r="46" spans="1:76" s="28" customFormat="1" ht="15.75" hidden="1" x14ac:dyDescent="0.25">
      <c r="A46" s="27" t="s">
        <v>85</v>
      </c>
      <c r="B46" s="28" t="s">
        <v>86</v>
      </c>
      <c r="C46" s="29">
        <v>6000</v>
      </c>
      <c r="D46" s="29">
        <v>0</v>
      </c>
      <c r="E46" s="29">
        <f t="shared" si="5"/>
        <v>0</v>
      </c>
      <c r="F46" s="29"/>
      <c r="G46" s="29"/>
      <c r="H46" s="29">
        <f t="shared" si="6"/>
        <v>0</v>
      </c>
      <c r="I46" s="29"/>
      <c r="J46" s="29"/>
      <c r="K46" s="50"/>
      <c r="L46" s="29">
        <f t="shared" si="7"/>
        <v>1014.46</v>
      </c>
      <c r="M46" s="29">
        <f t="shared" si="8"/>
        <v>600</v>
      </c>
      <c r="N46" s="29">
        <f t="shared" si="9"/>
        <v>4385.54</v>
      </c>
      <c r="O46" s="29">
        <f t="shared" si="10"/>
        <v>0</v>
      </c>
      <c r="P46" s="29">
        <f>+'C&amp;A'!D47*0.02</f>
        <v>21.911999999999999</v>
      </c>
      <c r="Q46" s="29">
        <f t="shared" si="11"/>
        <v>6021.9120000000003</v>
      </c>
      <c r="R46" s="29">
        <f t="shared" si="12"/>
        <v>963.50592000000006</v>
      </c>
      <c r="S46" s="29">
        <f t="shared" si="13"/>
        <v>6985.4179199999999</v>
      </c>
      <c r="T46" s="62">
        <f>+'C&amp;A'!H47+SINDICATO!L47</f>
        <v>4385.54</v>
      </c>
      <c r="U46" s="29">
        <f t="shared" si="14"/>
        <v>0</v>
      </c>
      <c r="V46" s="148"/>
      <c r="W46" s="149" t="s">
        <v>134</v>
      </c>
      <c r="X46" s="150" t="s">
        <v>85</v>
      </c>
      <c r="Y46" s="149" t="s">
        <v>268</v>
      </c>
      <c r="Z46" s="149" t="s">
        <v>206</v>
      </c>
      <c r="AA46" s="149"/>
      <c r="AB46" s="151">
        <v>1237.2399999999998</v>
      </c>
      <c r="AC46" s="149">
        <v>4762.76</v>
      </c>
      <c r="AD46" s="151">
        <f t="shared" si="15"/>
        <v>6000</v>
      </c>
      <c r="AE46" s="151"/>
      <c r="AF46" s="151"/>
      <c r="AG46" s="151"/>
      <c r="AH46" s="152"/>
      <c r="AI46" s="134">
        <f t="shared" si="16"/>
        <v>6000</v>
      </c>
      <c r="AJ46" s="151"/>
      <c r="AK46" s="111"/>
      <c r="AL46" s="111"/>
      <c r="AM46" s="153"/>
      <c r="AN46" s="153">
        <v>1014.46</v>
      </c>
      <c r="AO46" s="134">
        <f t="shared" si="0"/>
        <v>4985.54</v>
      </c>
      <c r="AP46" s="111">
        <f t="shared" si="1"/>
        <v>600</v>
      </c>
      <c r="AQ46" s="134">
        <f t="shared" si="2"/>
        <v>4385.54</v>
      </c>
      <c r="AR46" s="111">
        <f t="shared" si="17"/>
        <v>0</v>
      </c>
      <c r="AS46" s="111">
        <f t="shared" si="3"/>
        <v>24.744799999999998</v>
      </c>
      <c r="AT46" s="134">
        <f t="shared" si="4"/>
        <v>6024.7448000000004</v>
      </c>
      <c r="AU46" s="113"/>
      <c r="BK46" s="55">
        <f t="shared" si="18"/>
        <v>6000</v>
      </c>
      <c r="BL46" s="29">
        <f t="shared" si="19"/>
        <v>0</v>
      </c>
      <c r="BM46" s="29">
        <f t="shared" si="20"/>
        <v>600</v>
      </c>
      <c r="BU46" s="50">
        <f t="shared" si="21"/>
        <v>6000</v>
      </c>
      <c r="BV46" s="50">
        <f>+'C&amp;A'!H47+SINDICATO!D47</f>
        <v>6000</v>
      </c>
      <c r="BW46" s="50">
        <f t="shared" si="22"/>
        <v>0</v>
      </c>
      <c r="BX46" s="55" t="s">
        <v>319</v>
      </c>
    </row>
    <row r="47" spans="1:76" s="28" customFormat="1" ht="15.75" hidden="1" x14ac:dyDescent="0.25">
      <c r="A47" s="75" t="s">
        <v>166</v>
      </c>
      <c r="B47" s="28" t="s">
        <v>161</v>
      </c>
      <c r="C47" s="29">
        <v>17500</v>
      </c>
      <c r="D47" s="29">
        <v>0</v>
      </c>
      <c r="E47" s="29">
        <f t="shared" si="5"/>
        <v>0</v>
      </c>
      <c r="F47" s="29"/>
      <c r="G47" s="29"/>
      <c r="H47" s="29">
        <f t="shared" si="6"/>
        <v>0</v>
      </c>
      <c r="I47" s="29"/>
      <c r="J47" s="29"/>
      <c r="K47" s="50"/>
      <c r="L47" s="29">
        <f t="shared" si="7"/>
        <v>0</v>
      </c>
      <c r="M47" s="29">
        <f t="shared" si="8"/>
        <v>1750</v>
      </c>
      <c r="N47" s="29">
        <f t="shared" si="9"/>
        <v>15750</v>
      </c>
      <c r="O47" s="29">
        <f t="shared" si="10"/>
        <v>0</v>
      </c>
      <c r="P47" s="29">
        <f>+'C&amp;A'!D48*0.02</f>
        <v>20.4512</v>
      </c>
      <c r="Q47" s="29">
        <f t="shared" si="11"/>
        <v>17520.4512</v>
      </c>
      <c r="R47" s="29">
        <f t="shared" si="12"/>
        <v>2803.2721919999999</v>
      </c>
      <c r="S47" s="29">
        <f t="shared" si="13"/>
        <v>20323.723392</v>
      </c>
      <c r="T47" s="62">
        <f>+'C&amp;A'!H48+SINDICATO!L48</f>
        <v>15750</v>
      </c>
      <c r="U47" s="29">
        <f t="shared" si="14"/>
        <v>0</v>
      </c>
      <c r="V47" s="148"/>
      <c r="W47" s="149" t="s">
        <v>269</v>
      </c>
      <c r="X47" s="150"/>
      <c r="Y47" s="149" t="s">
        <v>270</v>
      </c>
      <c r="Z47" s="149"/>
      <c r="AA47" s="149"/>
      <c r="AB47" s="151">
        <v>1168.8</v>
      </c>
      <c r="AC47" s="149">
        <v>16331.2</v>
      </c>
      <c r="AD47" s="151">
        <v>17500</v>
      </c>
      <c r="AE47" s="151"/>
      <c r="AF47" s="151"/>
      <c r="AG47" s="151"/>
      <c r="AH47" s="152"/>
      <c r="AI47" s="134">
        <f t="shared" si="16"/>
        <v>17500</v>
      </c>
      <c r="AJ47" s="151"/>
      <c r="AK47" s="111"/>
      <c r="AL47" s="111"/>
      <c r="AM47" s="153"/>
      <c r="AN47" s="153">
        <v>0</v>
      </c>
      <c r="AO47" s="134">
        <f t="shared" si="0"/>
        <v>17500</v>
      </c>
      <c r="AP47" s="111">
        <f t="shared" si="1"/>
        <v>1750</v>
      </c>
      <c r="AQ47" s="134">
        <f t="shared" si="2"/>
        <v>15750</v>
      </c>
      <c r="AR47" s="111">
        <f t="shared" si="17"/>
        <v>0</v>
      </c>
      <c r="AS47" s="111">
        <f t="shared" si="3"/>
        <v>23.376000000000001</v>
      </c>
      <c r="AT47" s="134">
        <f t="shared" si="4"/>
        <v>17523.376</v>
      </c>
      <c r="AU47" s="113"/>
      <c r="BK47" s="55">
        <f t="shared" si="18"/>
        <v>17500</v>
      </c>
      <c r="BL47" s="29">
        <f t="shared" si="19"/>
        <v>0</v>
      </c>
      <c r="BM47" s="29">
        <f t="shared" si="20"/>
        <v>1750</v>
      </c>
      <c r="BU47" s="50">
        <f t="shared" si="21"/>
        <v>17500</v>
      </c>
      <c r="BV47" s="50">
        <f>+'C&amp;A'!H48+SINDICATO!D48</f>
        <v>17500</v>
      </c>
      <c r="BW47" s="50">
        <f t="shared" si="22"/>
        <v>0</v>
      </c>
      <c r="BX47" s="55" t="s">
        <v>318</v>
      </c>
    </row>
    <row r="48" spans="1:76" s="28" customFormat="1" ht="15.75" x14ac:dyDescent="0.25">
      <c r="A48" s="27" t="s">
        <v>87</v>
      </c>
      <c r="B48" s="28" t="s">
        <v>88</v>
      </c>
      <c r="C48" s="29">
        <v>2000</v>
      </c>
      <c r="D48" s="29">
        <v>188.73102434597322</v>
      </c>
      <c r="E48" s="29">
        <f t="shared" si="5"/>
        <v>0</v>
      </c>
      <c r="F48" s="29"/>
      <c r="G48" s="29"/>
      <c r="H48" s="29">
        <f t="shared" si="6"/>
        <v>0</v>
      </c>
      <c r="I48" s="29"/>
      <c r="J48" s="29"/>
      <c r="K48" s="50"/>
      <c r="L48" s="29">
        <f t="shared" si="7"/>
        <v>1280.0899999999999</v>
      </c>
      <c r="M48" s="29">
        <f t="shared" si="8"/>
        <v>0</v>
      </c>
      <c r="N48" s="29">
        <f t="shared" si="9"/>
        <v>908.64102434597339</v>
      </c>
      <c r="O48" s="29">
        <f t="shared" si="10"/>
        <v>218.87310243459734</v>
      </c>
      <c r="P48" s="29">
        <f>+'C&amp;A'!D49*0.02</f>
        <v>14.608000000000001</v>
      </c>
      <c r="Q48" s="29">
        <f t="shared" si="11"/>
        <v>2422.212126780571</v>
      </c>
      <c r="R48" s="29">
        <f t="shared" si="12"/>
        <v>387.55394028489138</v>
      </c>
      <c r="S48" s="29">
        <f t="shared" si="13"/>
        <v>2809.7660670654623</v>
      </c>
      <c r="T48" s="62">
        <f>+'C&amp;A'!H49+SINDICATO!L49</f>
        <v>908.64102434597351</v>
      </c>
      <c r="U48" s="29">
        <f t="shared" si="14"/>
        <v>0</v>
      </c>
      <c r="V48" s="148"/>
      <c r="W48" s="149" t="s">
        <v>271</v>
      </c>
      <c r="X48" s="150" t="s">
        <v>87</v>
      </c>
      <c r="Y48" s="149" t="s">
        <v>272</v>
      </c>
      <c r="Z48" s="149"/>
      <c r="AA48" s="149"/>
      <c r="AB48" s="151">
        <v>1237.2399999999998</v>
      </c>
      <c r="AC48" s="149">
        <v>762.76000000000022</v>
      </c>
      <c r="AD48" s="151">
        <f t="shared" ref="AD48:AD63" si="23">+AB48+AC48</f>
        <v>2000</v>
      </c>
      <c r="AE48" s="151"/>
      <c r="AF48" s="151"/>
      <c r="AG48" s="151"/>
      <c r="AH48" s="152"/>
      <c r="AI48" s="134">
        <f t="shared" si="16"/>
        <v>2188.7310243459733</v>
      </c>
      <c r="AJ48" s="151"/>
      <c r="AK48" s="111"/>
      <c r="AL48" s="111"/>
      <c r="AM48" s="153"/>
      <c r="AN48" s="153">
        <v>1280.0899999999999</v>
      </c>
      <c r="AO48" s="134">
        <f t="shared" si="0"/>
        <v>908.64102434597339</v>
      </c>
      <c r="AP48" s="111">
        <f t="shared" si="1"/>
        <v>0</v>
      </c>
      <c r="AQ48" s="134">
        <f t="shared" si="2"/>
        <v>908.64102434597339</v>
      </c>
      <c r="AR48" s="111">
        <f t="shared" si="17"/>
        <v>218.87310243459734</v>
      </c>
      <c r="AS48" s="111">
        <f t="shared" si="3"/>
        <v>24.744799999999998</v>
      </c>
      <c r="AT48" s="134">
        <f t="shared" si="4"/>
        <v>2432.3489267805708</v>
      </c>
      <c r="AU48" s="113"/>
      <c r="BK48" s="55">
        <f t="shared" si="18"/>
        <v>2188.7310243459733</v>
      </c>
      <c r="BL48" s="29">
        <f t="shared" si="19"/>
        <v>218.87310243459734</v>
      </c>
      <c r="BM48" s="29">
        <f t="shared" si="20"/>
        <v>0</v>
      </c>
      <c r="BU48" s="50">
        <f t="shared" si="21"/>
        <v>2188.7310243459733</v>
      </c>
      <c r="BV48" s="50">
        <f>+'C&amp;A'!H49+SINDICATO!D49</f>
        <v>2188.7310243459733</v>
      </c>
      <c r="BW48" s="50">
        <f t="shared" si="22"/>
        <v>0</v>
      </c>
      <c r="BX48" s="55" t="s">
        <v>317</v>
      </c>
    </row>
    <row r="49" spans="1:76" s="28" customFormat="1" ht="15.75" x14ac:dyDescent="0.25">
      <c r="A49" s="27" t="s">
        <v>89</v>
      </c>
      <c r="B49" s="28" t="s">
        <v>90</v>
      </c>
      <c r="C49" s="29">
        <v>1200</v>
      </c>
      <c r="D49" s="29">
        <v>125.12056780965156</v>
      </c>
      <c r="E49" s="29">
        <f t="shared" si="5"/>
        <v>2135.11</v>
      </c>
      <c r="F49" s="29"/>
      <c r="G49" s="29"/>
      <c r="H49" s="29">
        <f t="shared" si="6"/>
        <v>0</v>
      </c>
      <c r="I49" s="29"/>
      <c r="J49" s="29"/>
      <c r="K49" s="50"/>
      <c r="L49" s="29">
        <f t="shared" si="7"/>
        <v>0</v>
      </c>
      <c r="M49" s="29">
        <f t="shared" si="8"/>
        <v>0</v>
      </c>
      <c r="N49" s="29">
        <f t="shared" si="9"/>
        <v>3460.2305678096518</v>
      </c>
      <c r="O49" s="29">
        <f t="shared" si="10"/>
        <v>346.02305678096519</v>
      </c>
      <c r="P49" s="29">
        <f>+'C&amp;A'!D50*0.02</f>
        <v>21.911999999999999</v>
      </c>
      <c r="Q49" s="29">
        <f t="shared" si="11"/>
        <v>3828.165624590617</v>
      </c>
      <c r="R49" s="29">
        <f t="shared" si="12"/>
        <v>612.50649993449872</v>
      </c>
      <c r="S49" s="29">
        <f t="shared" si="13"/>
        <v>4440.6721245251156</v>
      </c>
      <c r="T49" s="62">
        <f>+'C&amp;A'!H50+SINDICATO!L50</f>
        <v>3418.2305678096518</v>
      </c>
      <c r="U49" s="29">
        <f t="shared" si="14"/>
        <v>-42</v>
      </c>
      <c r="V49" s="148"/>
      <c r="W49" s="149" t="s">
        <v>273</v>
      </c>
      <c r="X49" s="149" t="s">
        <v>89</v>
      </c>
      <c r="Y49" s="149" t="s">
        <v>122</v>
      </c>
      <c r="Z49" s="149"/>
      <c r="AA49" s="149"/>
      <c r="AB49" s="151">
        <v>1237.2399999999998</v>
      </c>
      <c r="AC49" s="149">
        <v>-37.239999999999782</v>
      </c>
      <c r="AD49" s="151">
        <f t="shared" si="23"/>
        <v>1200</v>
      </c>
      <c r="AE49" s="151">
        <v>2135.11</v>
      </c>
      <c r="AF49" s="151"/>
      <c r="AG49" s="151"/>
      <c r="AH49" s="152"/>
      <c r="AI49" s="134">
        <f t="shared" si="16"/>
        <v>3460.2305678096518</v>
      </c>
      <c r="AJ49" s="151"/>
      <c r="AK49" s="111"/>
      <c r="AL49" s="111"/>
      <c r="AM49" s="153"/>
      <c r="AN49" s="153">
        <v>0</v>
      </c>
      <c r="AO49" s="134">
        <f t="shared" si="0"/>
        <v>3460.2305678096518</v>
      </c>
      <c r="AP49" s="111">
        <f t="shared" si="1"/>
        <v>0</v>
      </c>
      <c r="AQ49" s="134">
        <f t="shared" si="2"/>
        <v>3460.2305678096518</v>
      </c>
      <c r="AR49" s="111">
        <f t="shared" si="17"/>
        <v>346.02305678096519</v>
      </c>
      <c r="AS49" s="111">
        <f t="shared" si="3"/>
        <v>24.744799999999998</v>
      </c>
      <c r="AT49" s="134">
        <f t="shared" si="4"/>
        <v>3830.9984245906171</v>
      </c>
      <c r="AU49" s="113"/>
      <c r="BK49" s="55">
        <f t="shared" si="18"/>
        <v>3460.2305678096518</v>
      </c>
      <c r="BL49" s="29">
        <f t="shared" si="19"/>
        <v>346.02305678096519</v>
      </c>
      <c r="BM49" s="29">
        <f t="shared" si="20"/>
        <v>0</v>
      </c>
      <c r="BU49" s="50">
        <f t="shared" si="21"/>
        <v>3460.2305678096518</v>
      </c>
      <c r="BV49" s="50">
        <f>+'C&amp;A'!H50+SINDICATO!D50</f>
        <v>3460.2305678096518</v>
      </c>
      <c r="BW49" s="50">
        <f t="shared" si="22"/>
        <v>0</v>
      </c>
      <c r="BX49" s="55" t="s">
        <v>317</v>
      </c>
    </row>
    <row r="50" spans="1:76" s="28" customFormat="1" ht="15.75" x14ac:dyDescent="0.25">
      <c r="A50" s="27" t="s">
        <v>91</v>
      </c>
      <c r="B50" s="28" t="s">
        <v>92</v>
      </c>
      <c r="C50" s="29">
        <v>1200</v>
      </c>
      <c r="D50" s="29">
        <v>0</v>
      </c>
      <c r="E50" s="29">
        <f t="shared" si="5"/>
        <v>4652.97</v>
      </c>
      <c r="F50" s="29"/>
      <c r="G50" s="29"/>
      <c r="H50" s="29">
        <f t="shared" si="6"/>
        <v>0</v>
      </c>
      <c r="I50" s="29"/>
      <c r="J50" s="29"/>
      <c r="K50" s="50"/>
      <c r="L50" s="29">
        <f t="shared" si="7"/>
        <v>0</v>
      </c>
      <c r="M50" s="29">
        <f t="shared" si="8"/>
        <v>585.29700000000003</v>
      </c>
      <c r="N50" s="29">
        <f t="shared" si="9"/>
        <v>5267.6730000000007</v>
      </c>
      <c r="O50" s="29">
        <f t="shared" si="10"/>
        <v>0</v>
      </c>
      <c r="P50" s="29">
        <f>+'C&amp;A'!D51*0.02</f>
        <v>21.911999999999999</v>
      </c>
      <c r="Q50" s="29">
        <f t="shared" si="11"/>
        <v>5874.8820000000005</v>
      </c>
      <c r="R50" s="29">
        <f t="shared" si="12"/>
        <v>939.98112000000015</v>
      </c>
      <c r="S50" s="29">
        <f t="shared" si="13"/>
        <v>6814.8631200000009</v>
      </c>
      <c r="T50" s="62">
        <f>+'C&amp;A'!H51+SINDICATO!L51</f>
        <v>5228.973</v>
      </c>
      <c r="U50" s="29">
        <f t="shared" si="14"/>
        <v>-38.700000000000728</v>
      </c>
      <c r="V50" s="148"/>
      <c r="W50" s="149" t="s">
        <v>142</v>
      </c>
      <c r="X50" s="149">
        <v>33</v>
      </c>
      <c r="Y50" s="149" t="s">
        <v>274</v>
      </c>
      <c r="Z50" s="149"/>
      <c r="AA50" s="149"/>
      <c r="AB50" s="151">
        <v>1237.2399999999998</v>
      </c>
      <c r="AC50" s="149">
        <v>-37.239999999999782</v>
      </c>
      <c r="AD50" s="151">
        <f t="shared" si="23"/>
        <v>1200</v>
      </c>
      <c r="AE50" s="151">
        <v>4652.97</v>
      </c>
      <c r="AF50" s="151"/>
      <c r="AG50" s="151"/>
      <c r="AH50" s="152"/>
      <c r="AI50" s="134">
        <f t="shared" si="16"/>
        <v>5852.97</v>
      </c>
      <c r="AJ50" s="151"/>
      <c r="AK50" s="111"/>
      <c r="AL50" s="111"/>
      <c r="AM50" s="153"/>
      <c r="AN50" s="153">
        <v>0</v>
      </c>
      <c r="AO50" s="134">
        <f t="shared" si="0"/>
        <v>5852.97</v>
      </c>
      <c r="AP50" s="111">
        <f t="shared" si="1"/>
        <v>585.29700000000003</v>
      </c>
      <c r="AQ50" s="134">
        <f t="shared" si="2"/>
        <v>5267.6730000000007</v>
      </c>
      <c r="AR50" s="111">
        <f t="shared" si="17"/>
        <v>0</v>
      </c>
      <c r="AS50" s="111">
        <f t="shared" si="3"/>
        <v>24.744799999999998</v>
      </c>
      <c r="AT50" s="134">
        <f t="shared" si="4"/>
        <v>5877.7148000000007</v>
      </c>
      <c r="AU50" s="113"/>
      <c r="BK50" s="55">
        <f t="shared" si="18"/>
        <v>5852.97</v>
      </c>
      <c r="BL50" s="29">
        <f t="shared" si="19"/>
        <v>0</v>
      </c>
      <c r="BM50" s="29">
        <f t="shared" si="20"/>
        <v>585.29700000000003</v>
      </c>
      <c r="BU50" s="50">
        <f t="shared" si="21"/>
        <v>5852.97</v>
      </c>
      <c r="BV50" s="50">
        <f>+'C&amp;A'!H51+SINDICATO!D51</f>
        <v>5852.97</v>
      </c>
      <c r="BW50" s="50">
        <f t="shared" si="22"/>
        <v>0</v>
      </c>
      <c r="BX50" s="55" t="s">
        <v>317</v>
      </c>
    </row>
    <row r="51" spans="1:76" s="28" customFormat="1" ht="15.75" hidden="1" x14ac:dyDescent="0.25">
      <c r="A51" s="27" t="s">
        <v>93</v>
      </c>
      <c r="B51" s="28" t="s">
        <v>94</v>
      </c>
      <c r="C51" s="29">
        <v>2000</v>
      </c>
      <c r="D51" s="29">
        <v>188.73102434597322</v>
      </c>
      <c r="E51" s="29">
        <f t="shared" si="5"/>
        <v>0</v>
      </c>
      <c r="F51" s="29"/>
      <c r="G51" s="29"/>
      <c r="H51" s="29">
        <f t="shared" si="6"/>
        <v>217.28</v>
      </c>
      <c r="I51" s="29"/>
      <c r="J51" s="29"/>
      <c r="K51" s="50"/>
      <c r="L51" s="29">
        <f t="shared" si="7"/>
        <v>0</v>
      </c>
      <c r="M51" s="29">
        <f t="shared" si="8"/>
        <v>0</v>
      </c>
      <c r="N51" s="29">
        <f t="shared" si="9"/>
        <v>1971.4510243459733</v>
      </c>
      <c r="O51" s="29">
        <f t="shared" si="10"/>
        <v>197.14510243459733</v>
      </c>
      <c r="P51" s="29">
        <f>+'C&amp;A'!D52*0.02</f>
        <v>21.911999999999999</v>
      </c>
      <c r="Q51" s="29">
        <f t="shared" si="11"/>
        <v>2190.5081267805704</v>
      </c>
      <c r="R51" s="29">
        <f t="shared" si="12"/>
        <v>350.48130028489129</v>
      </c>
      <c r="S51" s="29">
        <f t="shared" si="13"/>
        <v>2540.9894270654618</v>
      </c>
      <c r="T51" s="62">
        <f>+'C&amp;A'!H52+SINDICATO!L52</f>
        <v>1971.4510243459733</v>
      </c>
      <c r="U51" s="29">
        <f t="shared" si="14"/>
        <v>0</v>
      </c>
      <c r="V51" s="148"/>
      <c r="W51" s="149" t="s">
        <v>137</v>
      </c>
      <c r="X51" s="150" t="s">
        <v>93</v>
      </c>
      <c r="Y51" s="149" t="s">
        <v>276</v>
      </c>
      <c r="Z51" s="149"/>
      <c r="AA51" s="149"/>
      <c r="AB51" s="151">
        <v>1237.2399999999998</v>
      </c>
      <c r="AC51" s="149">
        <v>762.76000000000022</v>
      </c>
      <c r="AD51" s="151">
        <f t="shared" si="23"/>
        <v>2000</v>
      </c>
      <c r="AE51" s="151"/>
      <c r="AF51" s="151"/>
      <c r="AG51" s="151"/>
      <c r="AH51" s="152"/>
      <c r="AI51" s="134">
        <f>SUM(AD51:AG51)-AH51+D51</f>
        <v>2188.7310243459733</v>
      </c>
      <c r="AJ51" s="151"/>
      <c r="AK51" s="111"/>
      <c r="AL51" s="111"/>
      <c r="AM51" s="153">
        <v>217.28</v>
      </c>
      <c r="AN51" s="153">
        <v>0</v>
      </c>
      <c r="AO51" s="134">
        <f>+AI51-SUM(AJ51:AN51)</f>
        <v>1971.4510243459733</v>
      </c>
      <c r="AP51" s="111">
        <f t="shared" si="1"/>
        <v>0</v>
      </c>
      <c r="AQ51" s="134">
        <f t="shared" si="2"/>
        <v>1971.4510243459733</v>
      </c>
      <c r="AR51" s="111">
        <f>IF(AI51&lt;4500,AI51*0.1,0)</f>
        <v>218.87310243459734</v>
      </c>
      <c r="AS51" s="111">
        <f t="shared" si="3"/>
        <v>24.744799999999998</v>
      </c>
      <c r="AT51" s="134">
        <f t="shared" si="4"/>
        <v>2432.3489267805708</v>
      </c>
      <c r="AU51" s="113"/>
      <c r="BK51" s="55">
        <f t="shared" si="18"/>
        <v>1971.4510243459733</v>
      </c>
      <c r="BL51" s="29">
        <f t="shared" si="19"/>
        <v>197.14510243459733</v>
      </c>
      <c r="BM51" s="29">
        <f t="shared" si="20"/>
        <v>0</v>
      </c>
      <c r="BU51" s="50">
        <f t="shared" si="21"/>
        <v>2188.7310243459733</v>
      </c>
      <c r="BV51" s="50">
        <f>+'C&amp;A'!H52+SINDICATO!D52</f>
        <v>2188.7310243459733</v>
      </c>
      <c r="BW51" s="50">
        <f t="shared" si="22"/>
        <v>0</v>
      </c>
      <c r="BX51" s="55" t="s">
        <v>323</v>
      </c>
    </row>
    <row r="52" spans="1:76" s="28" customFormat="1" ht="15.75" hidden="1" x14ac:dyDescent="0.25">
      <c r="A52" s="27" t="s">
        <v>95</v>
      </c>
      <c r="B52" s="28" t="s">
        <v>96</v>
      </c>
      <c r="C52" s="29">
        <v>2000</v>
      </c>
      <c r="D52" s="29">
        <v>188.73102434597322</v>
      </c>
      <c r="E52" s="29">
        <f t="shared" si="5"/>
        <v>0</v>
      </c>
      <c r="F52" s="29"/>
      <c r="G52" s="29"/>
      <c r="H52" s="29">
        <f t="shared" si="6"/>
        <v>0</v>
      </c>
      <c r="I52" s="29"/>
      <c r="J52" s="29"/>
      <c r="K52" s="50"/>
      <c r="L52" s="29">
        <f t="shared" si="7"/>
        <v>0</v>
      </c>
      <c r="M52" s="29">
        <f t="shared" si="8"/>
        <v>0</v>
      </c>
      <c r="N52" s="29">
        <f t="shared" si="9"/>
        <v>2188.7310243459733</v>
      </c>
      <c r="O52" s="29">
        <f t="shared" si="10"/>
        <v>218.87310243459734</v>
      </c>
      <c r="P52" s="29">
        <f>+'C&amp;A'!D53*0.02</f>
        <v>21.911999999999999</v>
      </c>
      <c r="Q52" s="29">
        <f t="shared" si="11"/>
        <v>2429.5161267805706</v>
      </c>
      <c r="R52" s="29">
        <f t="shared" si="12"/>
        <v>388.72258028489131</v>
      </c>
      <c r="S52" s="29">
        <f t="shared" si="13"/>
        <v>2818.2387070654618</v>
      </c>
      <c r="T52" s="62">
        <f>+'C&amp;A'!H53+SINDICATO!L53</f>
        <v>2188.7310243459733</v>
      </c>
      <c r="U52" s="29">
        <f t="shared" si="14"/>
        <v>0</v>
      </c>
      <c r="V52" s="148"/>
      <c r="W52" s="149" t="s">
        <v>277</v>
      </c>
      <c r="X52" s="150" t="s">
        <v>95</v>
      </c>
      <c r="Y52" s="149" t="s">
        <v>278</v>
      </c>
      <c r="Z52" s="149"/>
      <c r="AA52" s="149"/>
      <c r="AB52" s="151">
        <v>1237.2399999999998</v>
      </c>
      <c r="AC52" s="149">
        <v>762.76000000000022</v>
      </c>
      <c r="AD52" s="151">
        <f t="shared" si="23"/>
        <v>2000</v>
      </c>
      <c r="AE52" s="151"/>
      <c r="AF52" s="151"/>
      <c r="AG52" s="151"/>
      <c r="AH52" s="152"/>
      <c r="AI52" s="134">
        <f t="shared" si="16"/>
        <v>2188.7310243459733</v>
      </c>
      <c r="AJ52" s="151"/>
      <c r="AK52" s="111"/>
      <c r="AL52" s="111"/>
      <c r="AM52" s="153"/>
      <c r="AN52" s="153">
        <v>0</v>
      </c>
      <c r="AO52" s="134">
        <f t="shared" si="0"/>
        <v>2188.7310243459733</v>
      </c>
      <c r="AP52" s="111">
        <f t="shared" si="1"/>
        <v>0</v>
      </c>
      <c r="AQ52" s="134">
        <f t="shared" si="2"/>
        <v>2188.7310243459733</v>
      </c>
      <c r="AR52" s="111">
        <f t="shared" si="17"/>
        <v>218.87310243459734</v>
      </c>
      <c r="AS52" s="111">
        <f t="shared" si="3"/>
        <v>24.744799999999998</v>
      </c>
      <c r="AT52" s="134">
        <f t="shared" si="4"/>
        <v>2432.3489267805708</v>
      </c>
      <c r="AU52" s="113"/>
      <c r="BK52" s="55">
        <f t="shared" si="18"/>
        <v>2188.7310243459733</v>
      </c>
      <c r="BL52" s="29">
        <f t="shared" si="19"/>
        <v>218.87310243459734</v>
      </c>
      <c r="BM52" s="29">
        <f t="shared" si="20"/>
        <v>0</v>
      </c>
      <c r="BU52" s="50">
        <f t="shared" si="21"/>
        <v>2188.7310243459733</v>
      </c>
      <c r="BV52" s="50">
        <f>+'C&amp;A'!H53+SINDICATO!D53</f>
        <v>2188.7310243459733</v>
      </c>
      <c r="BW52" s="50">
        <f t="shared" si="22"/>
        <v>0</v>
      </c>
      <c r="BX52" s="55" t="s">
        <v>318</v>
      </c>
    </row>
    <row r="53" spans="1:76" s="28" customFormat="1" ht="15.75" x14ac:dyDescent="0.25">
      <c r="A53" s="27" t="s">
        <v>97</v>
      </c>
      <c r="B53" s="28" t="s">
        <v>98</v>
      </c>
      <c r="C53" s="29">
        <v>1200</v>
      </c>
      <c r="D53" s="29">
        <v>125.12056780965156</v>
      </c>
      <c r="E53" s="29">
        <f t="shared" si="5"/>
        <v>2120</v>
      </c>
      <c r="F53" s="29"/>
      <c r="G53" s="29"/>
      <c r="H53" s="29">
        <f t="shared" si="6"/>
        <v>0</v>
      </c>
      <c r="I53" s="29"/>
      <c r="J53" s="29"/>
      <c r="K53" s="50"/>
      <c r="L53" s="29">
        <f t="shared" si="7"/>
        <v>0</v>
      </c>
      <c r="M53" s="29">
        <f t="shared" si="8"/>
        <v>0</v>
      </c>
      <c r="N53" s="29">
        <f t="shared" si="9"/>
        <v>3445.1205678096517</v>
      </c>
      <c r="O53" s="29">
        <f t="shared" si="10"/>
        <v>344.51205678096517</v>
      </c>
      <c r="P53" s="29">
        <f>+'C&amp;A'!D54*0.02</f>
        <v>21.911999999999999</v>
      </c>
      <c r="Q53" s="29">
        <f t="shared" si="11"/>
        <v>3811.5446245906164</v>
      </c>
      <c r="R53" s="29">
        <f t="shared" si="12"/>
        <v>609.84713993449861</v>
      </c>
      <c r="S53" s="29">
        <f t="shared" si="13"/>
        <v>4421.3917645251149</v>
      </c>
      <c r="T53" s="62">
        <f>+'C&amp;A'!H54+SINDICATO!L54</f>
        <v>3367.6205678096512</v>
      </c>
      <c r="U53" s="29">
        <f t="shared" si="14"/>
        <v>-77.500000000000455</v>
      </c>
      <c r="V53" s="148"/>
      <c r="W53" s="149" t="s">
        <v>140</v>
      </c>
      <c r="X53" s="150" t="s">
        <v>97</v>
      </c>
      <c r="Y53" s="149" t="s">
        <v>123</v>
      </c>
      <c r="Z53" s="149"/>
      <c r="AA53" s="149"/>
      <c r="AB53" s="151">
        <v>1237.2399999999998</v>
      </c>
      <c r="AC53" s="149">
        <v>-37.239999999999782</v>
      </c>
      <c r="AD53" s="151">
        <f t="shared" si="23"/>
        <v>1200</v>
      </c>
      <c r="AE53" s="151">
        <v>2120</v>
      </c>
      <c r="AF53" s="151"/>
      <c r="AG53" s="151"/>
      <c r="AH53" s="152"/>
      <c r="AI53" s="134">
        <f t="shared" si="16"/>
        <v>3445.1205678096517</v>
      </c>
      <c r="AJ53" s="151"/>
      <c r="AK53" s="111"/>
      <c r="AL53" s="111"/>
      <c r="AM53" s="153"/>
      <c r="AN53" s="153">
        <v>0</v>
      </c>
      <c r="AO53" s="134">
        <f t="shared" si="0"/>
        <v>3445.1205678096517</v>
      </c>
      <c r="AP53" s="111">
        <f t="shared" si="1"/>
        <v>0</v>
      </c>
      <c r="AQ53" s="134">
        <f t="shared" si="2"/>
        <v>3445.1205678096517</v>
      </c>
      <c r="AR53" s="111">
        <f t="shared" si="17"/>
        <v>344.51205678096517</v>
      </c>
      <c r="AS53" s="111">
        <f t="shared" si="3"/>
        <v>24.744799999999998</v>
      </c>
      <c r="AT53" s="134">
        <f t="shared" si="4"/>
        <v>3814.3774245906166</v>
      </c>
      <c r="AU53" s="113"/>
      <c r="BK53" s="55">
        <f t="shared" si="18"/>
        <v>3445.1205678096517</v>
      </c>
      <c r="BL53" s="29">
        <f t="shared" si="19"/>
        <v>344.51205678096517</v>
      </c>
      <c r="BM53" s="29">
        <f t="shared" si="20"/>
        <v>0</v>
      </c>
      <c r="BU53" s="50">
        <f t="shared" si="21"/>
        <v>3445.1205678096517</v>
      </c>
      <c r="BV53" s="50">
        <f>+'C&amp;A'!H54+SINDICATO!D54</f>
        <v>3445.1205678096512</v>
      </c>
      <c r="BW53" s="50">
        <f t="shared" si="22"/>
        <v>0</v>
      </c>
      <c r="BX53" s="55" t="s">
        <v>317</v>
      </c>
    </row>
    <row r="54" spans="1:76" s="28" customFormat="1" ht="15.75" x14ac:dyDescent="0.25">
      <c r="A54" s="27" t="s">
        <v>99</v>
      </c>
      <c r="B54" s="28" t="s">
        <v>100</v>
      </c>
      <c r="C54" s="29">
        <v>1200</v>
      </c>
      <c r="D54" s="29">
        <v>0</v>
      </c>
      <c r="E54" s="29">
        <f t="shared" si="5"/>
        <v>5349.7</v>
      </c>
      <c r="F54" s="29"/>
      <c r="G54" s="29"/>
      <c r="H54" s="29">
        <f t="shared" si="6"/>
        <v>0</v>
      </c>
      <c r="I54" s="29"/>
      <c r="J54" s="29"/>
      <c r="K54" s="50"/>
      <c r="L54" s="29">
        <f t="shared" si="7"/>
        <v>340.56</v>
      </c>
      <c r="M54" s="29">
        <f t="shared" si="8"/>
        <v>654.97</v>
      </c>
      <c r="N54" s="29">
        <f t="shared" si="9"/>
        <v>5554.1699999999992</v>
      </c>
      <c r="O54" s="29">
        <f t="shared" si="10"/>
        <v>0</v>
      </c>
      <c r="P54" s="29">
        <f>+'C&amp;A'!D55*0.02</f>
        <v>21.911999999999999</v>
      </c>
      <c r="Q54" s="29">
        <f t="shared" si="11"/>
        <v>6571.6120000000001</v>
      </c>
      <c r="R54" s="29">
        <f t="shared" si="12"/>
        <v>1051.4579200000001</v>
      </c>
      <c r="S54" s="29">
        <f t="shared" si="13"/>
        <v>7623.0699199999999</v>
      </c>
      <c r="T54" s="62">
        <f>+'C&amp;A'!H55+SINDICATO!L55</f>
        <v>5475.7699999999995</v>
      </c>
      <c r="U54" s="29">
        <f t="shared" si="14"/>
        <v>-78.399999999999636</v>
      </c>
      <c r="V54" s="148"/>
      <c r="W54" s="149" t="s">
        <v>279</v>
      </c>
      <c r="X54" s="150" t="s">
        <v>99</v>
      </c>
      <c r="Y54" s="149" t="s">
        <v>280</v>
      </c>
      <c r="Z54" s="149"/>
      <c r="AA54" s="149"/>
      <c r="AB54" s="151">
        <v>1237.2399999999998</v>
      </c>
      <c r="AC54" s="149">
        <v>-37.239999999999782</v>
      </c>
      <c r="AD54" s="151">
        <f t="shared" si="23"/>
        <v>1200</v>
      </c>
      <c r="AE54" s="151">
        <v>5349.7</v>
      </c>
      <c r="AF54" s="151"/>
      <c r="AG54" s="151"/>
      <c r="AH54" s="152"/>
      <c r="AI54" s="134">
        <f t="shared" si="16"/>
        <v>6549.7</v>
      </c>
      <c r="AJ54" s="151"/>
      <c r="AK54" s="111"/>
      <c r="AL54" s="111"/>
      <c r="AM54" s="153"/>
      <c r="AN54" s="153">
        <v>340.56</v>
      </c>
      <c r="AO54" s="134">
        <f>+AI54-SUM(AJ54:AN54)</f>
        <v>6209.1399999999994</v>
      </c>
      <c r="AP54" s="111">
        <f t="shared" si="1"/>
        <v>654.97</v>
      </c>
      <c r="AQ54" s="134">
        <f>+AO54-AP54</f>
        <v>5554.1699999999992</v>
      </c>
      <c r="AR54" s="111">
        <f t="shared" si="17"/>
        <v>0</v>
      </c>
      <c r="AS54" s="111">
        <f t="shared" si="3"/>
        <v>24.744799999999998</v>
      </c>
      <c r="AT54" s="134">
        <f t="shared" si="4"/>
        <v>6574.4448000000002</v>
      </c>
      <c r="AU54" s="113"/>
      <c r="BK54" s="55">
        <f t="shared" si="18"/>
        <v>6549.7</v>
      </c>
      <c r="BL54" s="29">
        <f t="shared" si="19"/>
        <v>0</v>
      </c>
      <c r="BM54" s="29">
        <f t="shared" si="20"/>
        <v>654.97</v>
      </c>
      <c r="BU54" s="50">
        <f t="shared" si="21"/>
        <v>6549.7</v>
      </c>
      <c r="BV54" s="50">
        <f>+'C&amp;A'!H55+SINDICATO!D55</f>
        <v>6549.7</v>
      </c>
      <c r="BW54" s="50">
        <f t="shared" si="22"/>
        <v>0</v>
      </c>
      <c r="BX54" s="55" t="s">
        <v>317</v>
      </c>
    </row>
    <row r="55" spans="1:76" s="28" customFormat="1" ht="15.75" hidden="1" x14ac:dyDescent="0.25">
      <c r="A55" s="27" t="s">
        <v>101</v>
      </c>
      <c r="B55" s="28" t="s">
        <v>102</v>
      </c>
      <c r="C55" s="29">
        <v>2000</v>
      </c>
      <c r="D55" s="29">
        <v>188.73102434597322</v>
      </c>
      <c r="E55" s="29">
        <f t="shared" si="5"/>
        <v>0</v>
      </c>
      <c r="F55" s="29"/>
      <c r="G55" s="29"/>
      <c r="H55" s="29">
        <f t="shared" si="6"/>
        <v>0</v>
      </c>
      <c r="I55" s="29"/>
      <c r="J55" s="29"/>
      <c r="K55" s="50"/>
      <c r="L55" s="29">
        <f t="shared" si="7"/>
        <v>0</v>
      </c>
      <c r="M55" s="29">
        <f t="shared" si="8"/>
        <v>0</v>
      </c>
      <c r="N55" s="29">
        <f t="shared" si="9"/>
        <v>2188.7310243459733</v>
      </c>
      <c r="O55" s="29">
        <f t="shared" si="10"/>
        <v>218.87310243459734</v>
      </c>
      <c r="P55" s="29">
        <f>+'C&amp;A'!D56*0.02</f>
        <v>21.911999999999999</v>
      </c>
      <c r="Q55" s="29">
        <f t="shared" si="11"/>
        <v>2429.5161267805706</v>
      </c>
      <c r="R55" s="29">
        <f t="shared" si="12"/>
        <v>388.72258028489131</v>
      </c>
      <c r="S55" s="29">
        <f t="shared" si="13"/>
        <v>2818.2387070654618</v>
      </c>
      <c r="T55" s="62">
        <f>+'C&amp;A'!H56+SINDICATO!L56</f>
        <v>2188.7310243459733</v>
      </c>
      <c r="U55" s="29">
        <f t="shared" si="14"/>
        <v>0</v>
      </c>
      <c r="V55" s="148"/>
      <c r="W55" s="149" t="s">
        <v>281</v>
      </c>
      <c r="X55" s="150" t="s">
        <v>101</v>
      </c>
      <c r="Y55" s="149" t="s">
        <v>282</v>
      </c>
      <c r="Z55" s="149"/>
      <c r="AA55" s="149"/>
      <c r="AB55" s="151">
        <v>1237.2399999999998</v>
      </c>
      <c r="AC55" s="149">
        <v>762.76000000000022</v>
      </c>
      <c r="AD55" s="151">
        <f t="shared" si="23"/>
        <v>2000</v>
      </c>
      <c r="AE55" s="151"/>
      <c r="AF55" s="151"/>
      <c r="AG55" s="151"/>
      <c r="AH55" s="152"/>
      <c r="AI55" s="134">
        <f t="shared" si="16"/>
        <v>2188.7310243459733</v>
      </c>
      <c r="AJ55" s="151"/>
      <c r="AK55" s="111"/>
      <c r="AL55" s="111"/>
      <c r="AM55" s="153"/>
      <c r="AN55" s="153">
        <v>0</v>
      </c>
      <c r="AO55" s="134">
        <f>+AI55-SUM(AJ55:AN55)</f>
        <v>2188.7310243459733</v>
      </c>
      <c r="AP55" s="111">
        <f t="shared" si="1"/>
        <v>0</v>
      </c>
      <c r="AQ55" s="134">
        <f t="shared" si="2"/>
        <v>2188.7310243459733</v>
      </c>
      <c r="AR55" s="111">
        <f t="shared" si="17"/>
        <v>218.87310243459734</v>
      </c>
      <c r="AS55" s="111">
        <f t="shared" si="3"/>
        <v>24.744799999999998</v>
      </c>
      <c r="AT55" s="134">
        <f t="shared" si="4"/>
        <v>2432.3489267805708</v>
      </c>
      <c r="AU55" s="113"/>
      <c r="BK55" s="55">
        <f t="shared" si="18"/>
        <v>2188.7310243459733</v>
      </c>
      <c r="BL55" s="29">
        <f t="shared" si="19"/>
        <v>218.87310243459734</v>
      </c>
      <c r="BM55" s="29">
        <f t="shared" si="20"/>
        <v>0</v>
      </c>
      <c r="BU55" s="50">
        <f t="shared" si="21"/>
        <v>2188.7310243459733</v>
      </c>
      <c r="BV55" s="50">
        <f>+'C&amp;A'!H56+SINDICATO!D56</f>
        <v>2188.7310243459733</v>
      </c>
      <c r="BW55" s="50">
        <f t="shared" si="22"/>
        <v>0</v>
      </c>
      <c r="BX55" s="55" t="s">
        <v>318</v>
      </c>
    </row>
    <row r="56" spans="1:76" s="28" customFormat="1" ht="15.75" hidden="1" x14ac:dyDescent="0.25">
      <c r="A56" s="27" t="s">
        <v>103</v>
      </c>
      <c r="B56" s="28" t="s">
        <v>104</v>
      </c>
      <c r="C56" s="29">
        <v>3500</v>
      </c>
      <c r="D56" s="29">
        <v>125.12056780965156</v>
      </c>
      <c r="E56" s="29">
        <f t="shared" si="5"/>
        <v>0</v>
      </c>
      <c r="F56" s="29"/>
      <c r="G56" s="29"/>
      <c r="H56" s="29">
        <f t="shared" si="6"/>
        <v>0</v>
      </c>
      <c r="I56" s="29"/>
      <c r="J56" s="29"/>
      <c r="K56" s="50"/>
      <c r="L56" s="29">
        <f t="shared" si="7"/>
        <v>0</v>
      </c>
      <c r="M56" s="29">
        <f t="shared" si="8"/>
        <v>0</v>
      </c>
      <c r="N56" s="29">
        <f t="shared" si="9"/>
        <v>3625.1205678096517</v>
      </c>
      <c r="O56" s="29">
        <f t="shared" si="10"/>
        <v>362.51205678096517</v>
      </c>
      <c r="P56" s="29">
        <f>+'C&amp;A'!D57*0.02</f>
        <v>21.911999999999999</v>
      </c>
      <c r="Q56" s="29">
        <f t="shared" si="11"/>
        <v>4009.5446245906164</v>
      </c>
      <c r="R56" s="29">
        <f t="shared" si="12"/>
        <v>641.52713993449868</v>
      </c>
      <c r="S56" s="29">
        <f t="shared" si="13"/>
        <v>4651.0717645251152</v>
      </c>
      <c r="T56" s="62">
        <f>+'C&amp;A'!H57+SINDICATO!L57</f>
        <v>3625.1205678096512</v>
      </c>
      <c r="U56" s="29">
        <f t="shared" si="14"/>
        <v>0</v>
      </c>
      <c r="V56" s="148"/>
      <c r="W56" s="149" t="s">
        <v>136</v>
      </c>
      <c r="X56" s="150">
        <v>8</v>
      </c>
      <c r="Y56" s="149" t="s">
        <v>283</v>
      </c>
      <c r="Z56" s="149"/>
      <c r="AA56" s="149"/>
      <c r="AB56" s="151">
        <v>1237.2399999999998</v>
      </c>
      <c r="AC56" s="149">
        <v>2262.7600000000002</v>
      </c>
      <c r="AD56" s="151">
        <f t="shared" si="23"/>
        <v>3500</v>
      </c>
      <c r="AE56" s="151"/>
      <c r="AF56" s="151"/>
      <c r="AG56" s="151"/>
      <c r="AH56" s="152"/>
      <c r="AI56" s="134">
        <f t="shared" si="16"/>
        <v>3625.1205678096517</v>
      </c>
      <c r="AJ56" s="151"/>
      <c r="AK56" s="111"/>
      <c r="AL56" s="111"/>
      <c r="AM56" s="153"/>
      <c r="AN56" s="153">
        <v>0</v>
      </c>
      <c r="AO56" s="134">
        <f t="shared" si="0"/>
        <v>3625.1205678096517</v>
      </c>
      <c r="AP56" s="111">
        <f t="shared" si="1"/>
        <v>0</v>
      </c>
      <c r="AQ56" s="134">
        <f t="shared" si="2"/>
        <v>3625.1205678096517</v>
      </c>
      <c r="AR56" s="111">
        <f t="shared" si="17"/>
        <v>362.51205678096517</v>
      </c>
      <c r="AS56" s="111">
        <f t="shared" si="3"/>
        <v>24.744799999999998</v>
      </c>
      <c r="AT56" s="134">
        <f t="shared" si="4"/>
        <v>4012.3774245906166</v>
      </c>
      <c r="AU56" s="113"/>
      <c r="BK56" s="55">
        <f t="shared" si="18"/>
        <v>3625.1205678096517</v>
      </c>
      <c r="BL56" s="29">
        <f t="shared" si="19"/>
        <v>362.51205678096517</v>
      </c>
      <c r="BM56" s="29">
        <f t="shared" si="20"/>
        <v>0</v>
      </c>
      <c r="BU56" s="50">
        <f t="shared" si="21"/>
        <v>3625.1205678096517</v>
      </c>
      <c r="BV56" s="50">
        <f>+'C&amp;A'!H57+SINDICATO!D57</f>
        <v>3625.1205678096512</v>
      </c>
      <c r="BW56" s="50">
        <f t="shared" si="22"/>
        <v>0</v>
      </c>
      <c r="BX56" s="55" t="s">
        <v>323</v>
      </c>
    </row>
    <row r="57" spans="1:76" s="28" customFormat="1" ht="15.75" hidden="1" x14ac:dyDescent="0.25">
      <c r="A57" s="27" t="s">
        <v>105</v>
      </c>
      <c r="B57" s="28" t="s">
        <v>106</v>
      </c>
      <c r="C57" s="29">
        <v>12500</v>
      </c>
      <c r="D57" s="29">
        <v>0</v>
      </c>
      <c r="E57" s="29">
        <f t="shared" si="5"/>
        <v>0</v>
      </c>
      <c r="F57" s="29"/>
      <c r="G57" s="29"/>
      <c r="H57" s="29">
        <f t="shared" si="6"/>
        <v>0</v>
      </c>
      <c r="I57" s="29">
        <v>117.81</v>
      </c>
      <c r="J57" s="29"/>
      <c r="K57" s="50"/>
      <c r="L57" s="29">
        <f t="shared" si="7"/>
        <v>0</v>
      </c>
      <c r="M57" s="29">
        <f t="shared" si="8"/>
        <v>1250</v>
      </c>
      <c r="N57" s="29">
        <f t="shared" si="9"/>
        <v>11132.19</v>
      </c>
      <c r="O57" s="29">
        <f t="shared" si="10"/>
        <v>0</v>
      </c>
      <c r="P57" s="29">
        <f>+'C&amp;A'!D58*0.02</f>
        <v>21.911999999999999</v>
      </c>
      <c r="Q57" s="29">
        <f t="shared" si="11"/>
        <v>12404.102000000001</v>
      </c>
      <c r="R57" s="29">
        <f t="shared" si="12"/>
        <v>1984.6563200000003</v>
      </c>
      <c r="S57" s="29">
        <f t="shared" si="13"/>
        <v>14388.758320000001</v>
      </c>
      <c r="T57" s="62">
        <f>+'C&amp;A'!H58+SINDICATO!L58</f>
        <v>11132.19</v>
      </c>
      <c r="U57" s="29">
        <f>+T57-N57</f>
        <v>0</v>
      </c>
      <c r="V57" s="54"/>
      <c r="W57" s="149" t="s">
        <v>135</v>
      </c>
      <c r="X57" s="150" t="s">
        <v>105</v>
      </c>
      <c r="Y57" s="149" t="s">
        <v>284</v>
      </c>
      <c r="Z57" s="149" t="s">
        <v>206</v>
      </c>
      <c r="AA57" s="149"/>
      <c r="AB57" s="151">
        <v>1237.2399999999998</v>
      </c>
      <c r="AC57" s="149">
        <v>11262.76</v>
      </c>
      <c r="AD57" s="151">
        <f t="shared" si="23"/>
        <v>12500</v>
      </c>
      <c r="AE57" s="151"/>
      <c r="AF57" s="151"/>
      <c r="AG57" s="151"/>
      <c r="AH57" s="152"/>
      <c r="AI57" s="134">
        <f t="shared" si="16"/>
        <v>12500</v>
      </c>
      <c r="AJ57" s="151"/>
      <c r="AK57" s="111"/>
      <c r="AL57" s="111"/>
      <c r="AM57" s="153"/>
      <c r="AN57" s="153">
        <v>0</v>
      </c>
      <c r="AO57" s="134">
        <f t="shared" si="0"/>
        <v>12500</v>
      </c>
      <c r="AP57" s="111">
        <f t="shared" si="1"/>
        <v>1250</v>
      </c>
      <c r="AQ57" s="134">
        <f t="shared" si="2"/>
        <v>11250</v>
      </c>
      <c r="AR57" s="111">
        <f t="shared" si="17"/>
        <v>0</v>
      </c>
      <c r="AS57" s="111">
        <f t="shared" si="3"/>
        <v>24.744799999999998</v>
      </c>
      <c r="AT57" s="134">
        <f t="shared" si="4"/>
        <v>12524.7448</v>
      </c>
      <c r="AU57" s="113"/>
      <c r="BK57" s="55">
        <f t="shared" si="18"/>
        <v>12500</v>
      </c>
      <c r="BL57" s="29">
        <f t="shared" si="19"/>
        <v>0</v>
      </c>
      <c r="BM57" s="29">
        <f t="shared" si="20"/>
        <v>1250</v>
      </c>
      <c r="BU57" s="50">
        <f t="shared" si="21"/>
        <v>12500</v>
      </c>
      <c r="BV57" s="50">
        <f>+'C&amp;A'!H58+SINDICATO!D58</f>
        <v>12500</v>
      </c>
      <c r="BW57" s="50">
        <f t="shared" si="22"/>
        <v>0</v>
      </c>
      <c r="BX57" s="55" t="s">
        <v>319</v>
      </c>
    </row>
    <row r="58" spans="1:76" s="28" customFormat="1" ht="15.75" x14ac:dyDescent="0.25">
      <c r="A58" s="27" t="s">
        <v>107</v>
      </c>
      <c r="B58" s="28" t="s">
        <v>108</v>
      </c>
      <c r="C58" s="29">
        <v>3500</v>
      </c>
      <c r="D58" s="29">
        <v>125.12056780965156</v>
      </c>
      <c r="E58" s="29">
        <f t="shared" si="5"/>
        <v>0</v>
      </c>
      <c r="F58" s="29"/>
      <c r="G58" s="29"/>
      <c r="H58" s="29">
        <f t="shared" si="6"/>
        <v>0</v>
      </c>
      <c r="I58" s="29"/>
      <c r="J58" s="29"/>
      <c r="K58" s="50"/>
      <c r="L58" s="29">
        <f t="shared" si="7"/>
        <v>741.3</v>
      </c>
      <c r="M58" s="29">
        <f t="shared" si="8"/>
        <v>0</v>
      </c>
      <c r="N58" s="29">
        <f t="shared" si="9"/>
        <v>2883.8205678096519</v>
      </c>
      <c r="O58" s="29">
        <f t="shared" si="10"/>
        <v>362.51205678096517</v>
      </c>
      <c r="P58" s="29">
        <f>+'C&amp;A'!D59*0.02</f>
        <v>21.911999999999999</v>
      </c>
      <c r="Q58" s="29">
        <f t="shared" si="11"/>
        <v>4009.5446245906164</v>
      </c>
      <c r="R58" s="29">
        <f t="shared" si="12"/>
        <v>641.52713993449868</v>
      </c>
      <c r="S58" s="29">
        <f t="shared" si="13"/>
        <v>4651.0717645251152</v>
      </c>
      <c r="T58" s="62">
        <f>+'C&amp;A'!H59+SINDICATO!L59</f>
        <v>2883.8205678096515</v>
      </c>
      <c r="U58" s="29">
        <f>+T58-N58</f>
        <v>0</v>
      </c>
      <c r="V58" s="148"/>
      <c r="W58" s="149" t="s">
        <v>285</v>
      </c>
      <c r="X58" s="150">
        <v>18</v>
      </c>
      <c r="Y58" s="149" t="s">
        <v>229</v>
      </c>
      <c r="Z58" s="149"/>
      <c r="AA58" s="149"/>
      <c r="AB58" s="151">
        <v>1237.2399999999998</v>
      </c>
      <c r="AC58" s="149">
        <v>2262.7600000000002</v>
      </c>
      <c r="AD58" s="151">
        <f t="shared" si="23"/>
        <v>3500</v>
      </c>
      <c r="AE58" s="151"/>
      <c r="AF58" s="151"/>
      <c r="AG58" s="151"/>
      <c r="AH58" s="152"/>
      <c r="AI58" s="134">
        <f t="shared" si="16"/>
        <v>3625.1205678096517</v>
      </c>
      <c r="AJ58" s="151"/>
      <c r="AK58" s="111"/>
      <c r="AL58" s="111"/>
      <c r="AM58" s="153"/>
      <c r="AN58" s="153">
        <v>741.3</v>
      </c>
      <c r="AO58" s="134">
        <f>+AI58-SUM(AJ58:AN58)</f>
        <v>2883.8205678096519</v>
      </c>
      <c r="AP58" s="111">
        <f t="shared" si="1"/>
        <v>0</v>
      </c>
      <c r="AQ58" s="134">
        <f t="shared" si="2"/>
        <v>2883.8205678096519</v>
      </c>
      <c r="AR58" s="111">
        <f t="shared" si="17"/>
        <v>362.51205678096517</v>
      </c>
      <c r="AS58" s="111">
        <f t="shared" si="3"/>
        <v>24.744799999999998</v>
      </c>
      <c r="AT58" s="134">
        <f t="shared" si="4"/>
        <v>4012.3774245906166</v>
      </c>
      <c r="AU58" s="113"/>
      <c r="BK58" s="55">
        <f t="shared" si="18"/>
        <v>3625.1205678096517</v>
      </c>
      <c r="BL58" s="29">
        <f t="shared" si="19"/>
        <v>362.51205678096517</v>
      </c>
      <c r="BM58" s="29">
        <f t="shared" si="20"/>
        <v>0</v>
      </c>
      <c r="BU58" s="50">
        <f t="shared" si="21"/>
        <v>3625.1205678096517</v>
      </c>
      <c r="BV58" s="50">
        <f>+'C&amp;A'!H59+SINDICATO!D59</f>
        <v>3625.1205678096512</v>
      </c>
      <c r="BW58" s="50">
        <f t="shared" si="22"/>
        <v>0</v>
      </c>
      <c r="BX58" s="55" t="s">
        <v>317</v>
      </c>
    </row>
    <row r="59" spans="1:76" s="28" customFormat="1" ht="15.75" hidden="1" x14ac:dyDescent="0.25">
      <c r="A59" s="27" t="s">
        <v>109</v>
      </c>
      <c r="B59" s="28" t="s">
        <v>110</v>
      </c>
      <c r="C59" s="29">
        <v>2750</v>
      </c>
      <c r="D59" s="29">
        <v>145.37389713135775</v>
      </c>
      <c r="E59" s="29">
        <f t="shared" si="5"/>
        <v>0</v>
      </c>
      <c r="F59" s="29"/>
      <c r="G59" s="29"/>
      <c r="H59" s="29">
        <f t="shared" si="6"/>
        <v>0</v>
      </c>
      <c r="I59" s="29"/>
      <c r="J59" s="29"/>
      <c r="K59" s="50"/>
      <c r="L59" s="29">
        <f t="shared" si="7"/>
        <v>0</v>
      </c>
      <c r="M59" s="29">
        <f t="shared" si="8"/>
        <v>0</v>
      </c>
      <c r="N59" s="29">
        <f t="shared" si="9"/>
        <v>2895.3738971313578</v>
      </c>
      <c r="O59" s="29">
        <f t="shared" si="10"/>
        <v>289.53738971313578</v>
      </c>
      <c r="P59" s="29">
        <f>+'C&amp;A'!D60*0.02</f>
        <v>21.911999999999999</v>
      </c>
      <c r="Q59" s="29">
        <f t="shared" si="11"/>
        <v>3206.8232868444934</v>
      </c>
      <c r="R59" s="29">
        <f t="shared" si="12"/>
        <v>513.091725895119</v>
      </c>
      <c r="S59" s="29">
        <f t="shared" si="13"/>
        <v>3719.9150127396124</v>
      </c>
      <c r="T59" s="62">
        <f>+'C&amp;A'!H60+SINDICATO!L60</f>
        <v>2797.2438971313577</v>
      </c>
      <c r="U59" s="29">
        <f t="shared" si="14"/>
        <v>-98.130000000000109</v>
      </c>
      <c r="V59" s="148"/>
      <c r="W59" s="149" t="s">
        <v>143</v>
      </c>
      <c r="X59" s="149" t="s">
        <v>109</v>
      </c>
      <c r="Y59" s="149" t="s">
        <v>286</v>
      </c>
      <c r="Z59" s="149"/>
      <c r="AA59" s="149"/>
      <c r="AB59" s="151">
        <v>1237.2399999999998</v>
      </c>
      <c r="AC59" s="149">
        <v>1512.7600000000002</v>
      </c>
      <c r="AD59" s="151">
        <f t="shared" si="23"/>
        <v>2750</v>
      </c>
      <c r="AE59" s="151"/>
      <c r="AF59" s="151"/>
      <c r="AG59" s="151"/>
      <c r="AH59" s="152"/>
      <c r="AI59" s="134">
        <f t="shared" si="16"/>
        <v>2895.3738971313578</v>
      </c>
      <c r="AJ59" s="151"/>
      <c r="AK59" s="111"/>
      <c r="AL59" s="111"/>
      <c r="AM59" s="153"/>
      <c r="AN59" s="153">
        <v>0</v>
      </c>
      <c r="AO59" s="134">
        <f t="shared" si="0"/>
        <v>2895.3738971313578</v>
      </c>
      <c r="AP59" s="111">
        <f t="shared" si="1"/>
        <v>0</v>
      </c>
      <c r="AQ59" s="134">
        <f t="shared" si="2"/>
        <v>2895.3738971313578</v>
      </c>
      <c r="AR59" s="111">
        <f t="shared" si="17"/>
        <v>289.53738971313578</v>
      </c>
      <c r="AS59" s="111">
        <f t="shared" si="3"/>
        <v>24.744799999999998</v>
      </c>
      <c r="AT59" s="134">
        <f t="shared" si="4"/>
        <v>3209.6560868444935</v>
      </c>
      <c r="AU59" s="113"/>
      <c r="BK59" s="55">
        <f t="shared" si="18"/>
        <v>2895.3738971313578</v>
      </c>
      <c r="BL59" s="29">
        <f t="shared" si="19"/>
        <v>289.53738971313578</v>
      </c>
      <c r="BM59" s="29">
        <f t="shared" si="20"/>
        <v>0</v>
      </c>
      <c r="BU59" s="50">
        <f t="shared" si="21"/>
        <v>2895.3738971313578</v>
      </c>
      <c r="BV59" s="50">
        <f>+'C&amp;A'!H60+SINDICATO!D60</f>
        <v>2895.3738971313578</v>
      </c>
      <c r="BW59" s="50">
        <f t="shared" si="22"/>
        <v>0</v>
      </c>
      <c r="BX59" s="55" t="s">
        <v>318</v>
      </c>
    </row>
    <row r="60" spans="1:76" s="28" customFormat="1" ht="15.75" x14ac:dyDescent="0.25">
      <c r="A60" s="27" t="s">
        <v>111</v>
      </c>
      <c r="B60" s="28" t="s">
        <v>112</v>
      </c>
      <c r="C60" s="29">
        <v>1200</v>
      </c>
      <c r="D60" s="29">
        <v>0</v>
      </c>
      <c r="E60" s="29">
        <f t="shared" si="5"/>
        <v>3845.45</v>
      </c>
      <c r="F60" s="29"/>
      <c r="G60" s="29"/>
      <c r="H60" s="29">
        <f t="shared" si="6"/>
        <v>0</v>
      </c>
      <c r="I60" s="29"/>
      <c r="J60" s="29"/>
      <c r="K60" s="50"/>
      <c r="L60" s="29">
        <f t="shared" si="7"/>
        <v>0</v>
      </c>
      <c r="M60" s="29">
        <f t="shared" si="8"/>
        <v>504.54500000000002</v>
      </c>
      <c r="N60" s="29">
        <f t="shared" si="9"/>
        <v>4540.9049999999997</v>
      </c>
      <c r="O60" s="29">
        <f t="shared" si="10"/>
        <v>0</v>
      </c>
      <c r="P60" s="29">
        <f>+'C&amp;A'!D61*0.02</f>
        <v>21.911999999999999</v>
      </c>
      <c r="Q60" s="29">
        <f t="shared" si="11"/>
        <v>5067.3620000000001</v>
      </c>
      <c r="R60" s="29">
        <f t="shared" si="12"/>
        <v>810.77791999999999</v>
      </c>
      <c r="S60" s="29">
        <f t="shared" si="13"/>
        <v>5878.1399199999996</v>
      </c>
      <c r="T60" s="62">
        <f>+'C&amp;A'!H61+SINDICATO!L61</f>
        <v>4540.9049999999997</v>
      </c>
      <c r="U60" s="29">
        <f t="shared" si="14"/>
        <v>0</v>
      </c>
      <c r="V60" s="148"/>
      <c r="W60" s="149" t="s">
        <v>287</v>
      </c>
      <c r="X60" s="150" t="s">
        <v>111</v>
      </c>
      <c r="Y60" s="149" t="s">
        <v>229</v>
      </c>
      <c r="Z60" s="149"/>
      <c r="AA60" s="149"/>
      <c r="AB60" s="151">
        <v>1237.2399999999998</v>
      </c>
      <c r="AC60" s="149">
        <v>-37.239999999999782</v>
      </c>
      <c r="AD60" s="151">
        <f t="shared" si="23"/>
        <v>1200</v>
      </c>
      <c r="AE60" s="151">
        <v>3845.45</v>
      </c>
      <c r="AF60" s="151"/>
      <c r="AG60" s="151"/>
      <c r="AH60" s="152"/>
      <c r="AI60" s="134">
        <f t="shared" si="16"/>
        <v>5045.45</v>
      </c>
      <c r="AJ60" s="151"/>
      <c r="AK60" s="111"/>
      <c r="AL60" s="111"/>
      <c r="AM60" s="153"/>
      <c r="AN60" s="153">
        <v>0</v>
      </c>
      <c r="AO60" s="134">
        <f t="shared" si="0"/>
        <v>5045.45</v>
      </c>
      <c r="AP60" s="111">
        <f t="shared" si="1"/>
        <v>504.54500000000002</v>
      </c>
      <c r="AQ60" s="134">
        <f t="shared" si="2"/>
        <v>4540.9049999999997</v>
      </c>
      <c r="AR60" s="111">
        <f t="shared" si="17"/>
        <v>0</v>
      </c>
      <c r="AS60" s="111">
        <f t="shared" si="3"/>
        <v>24.744799999999998</v>
      </c>
      <c r="AT60" s="134">
        <f t="shared" si="4"/>
        <v>5070.1948000000002</v>
      </c>
      <c r="AU60" s="113"/>
      <c r="BK60" s="55">
        <f t="shared" si="18"/>
        <v>5045.45</v>
      </c>
      <c r="BL60" s="29">
        <f t="shared" si="19"/>
        <v>0</v>
      </c>
      <c r="BM60" s="29">
        <f t="shared" si="20"/>
        <v>504.54500000000002</v>
      </c>
      <c r="BU60" s="50">
        <f t="shared" si="21"/>
        <v>5045.45</v>
      </c>
      <c r="BV60" s="50">
        <f>+'C&amp;A'!H61+SINDICATO!D61</f>
        <v>5045.45</v>
      </c>
      <c r="BW60" s="50">
        <f t="shared" si="22"/>
        <v>0</v>
      </c>
      <c r="BX60" s="55" t="s">
        <v>317</v>
      </c>
    </row>
    <row r="61" spans="1:76" s="28" customFormat="1" ht="15.75" x14ac:dyDescent="0.25">
      <c r="A61" s="27" t="s">
        <v>113</v>
      </c>
      <c r="B61" s="28" t="s">
        <v>114</v>
      </c>
      <c r="C61" s="29">
        <v>1200</v>
      </c>
      <c r="D61" s="29">
        <v>200.73299727735468</v>
      </c>
      <c r="E61" s="29">
        <f t="shared" si="5"/>
        <v>0</v>
      </c>
      <c r="F61" s="29"/>
      <c r="G61" s="29"/>
      <c r="H61" s="29">
        <f t="shared" si="6"/>
        <v>0</v>
      </c>
      <c r="I61" s="29"/>
      <c r="J61" s="29"/>
      <c r="K61" s="50"/>
      <c r="L61" s="29">
        <f t="shared" si="7"/>
        <v>0</v>
      </c>
      <c r="M61" s="29">
        <f t="shared" si="8"/>
        <v>0</v>
      </c>
      <c r="N61" s="29">
        <f>+C61+D61+E61+F61-H61-J61+K61-L61-M61+G61-I61</f>
        <v>1400.7329972773546</v>
      </c>
      <c r="O61" s="29">
        <f t="shared" si="10"/>
        <v>140.07329972773547</v>
      </c>
      <c r="P61" s="29">
        <f>+'C&amp;A'!D62*0.02</f>
        <v>21.911999999999999</v>
      </c>
      <c r="Q61" s="29">
        <f t="shared" si="11"/>
        <v>1562.7182970050901</v>
      </c>
      <c r="R61" s="29">
        <f t="shared" si="12"/>
        <v>250.03492752081442</v>
      </c>
      <c r="S61" s="29">
        <f t="shared" si="13"/>
        <v>1812.7532245259044</v>
      </c>
      <c r="T61" s="62">
        <f>+'C&amp;A'!H62+SINDICATO!L62</f>
        <v>1346.7329972773546</v>
      </c>
      <c r="U61" s="29">
        <f t="shared" si="14"/>
        <v>-54</v>
      </c>
      <c r="V61" s="148"/>
      <c r="W61" s="149" t="s">
        <v>141</v>
      </c>
      <c r="X61" s="150" t="s">
        <v>113</v>
      </c>
      <c r="Y61" s="149" t="s">
        <v>288</v>
      </c>
      <c r="Z61" s="149"/>
      <c r="AA61" s="149"/>
      <c r="AB61" s="151">
        <v>1237.2399999999998</v>
      </c>
      <c r="AC61" s="149">
        <v>-37.239999999999782</v>
      </c>
      <c r="AD61" s="151">
        <f t="shared" si="23"/>
        <v>1200</v>
      </c>
      <c r="AE61" s="151"/>
      <c r="AF61" s="151"/>
      <c r="AG61" s="151"/>
      <c r="AH61" s="152"/>
      <c r="AI61" s="134">
        <f t="shared" si="16"/>
        <v>1400.7329972773546</v>
      </c>
      <c r="AJ61" s="151"/>
      <c r="AK61" s="111"/>
      <c r="AL61" s="111"/>
      <c r="AM61" s="153"/>
      <c r="AN61" s="153">
        <v>0</v>
      </c>
      <c r="AO61" s="134">
        <f t="shared" si="0"/>
        <v>1400.7329972773546</v>
      </c>
      <c r="AP61" s="111">
        <f t="shared" si="1"/>
        <v>0</v>
      </c>
      <c r="AQ61" s="134">
        <f t="shared" si="2"/>
        <v>1400.7329972773546</v>
      </c>
      <c r="AR61" s="111">
        <f t="shared" si="17"/>
        <v>140.07329972773547</v>
      </c>
      <c r="AS61" s="111">
        <f t="shared" si="3"/>
        <v>24.744799999999998</v>
      </c>
      <c r="AT61" s="134">
        <f t="shared" si="4"/>
        <v>1565.55109700509</v>
      </c>
      <c r="AU61" s="113"/>
      <c r="BK61" s="55">
        <f t="shared" si="18"/>
        <v>1400.7329972773546</v>
      </c>
      <c r="BL61" s="29">
        <f t="shared" si="19"/>
        <v>140.07329972773547</v>
      </c>
      <c r="BM61" s="29">
        <f t="shared" si="20"/>
        <v>0</v>
      </c>
      <c r="BU61" s="50">
        <f t="shared" si="21"/>
        <v>1400.7329972773546</v>
      </c>
      <c r="BV61" s="50">
        <f>+'C&amp;A'!H62+SINDICATO!D62</f>
        <v>1400.7329972773546</v>
      </c>
      <c r="BW61" s="50">
        <f t="shared" si="22"/>
        <v>0</v>
      </c>
      <c r="BX61" s="55" t="s">
        <v>317</v>
      </c>
    </row>
    <row r="62" spans="1:76" s="28" customFormat="1" ht="15.75" hidden="1" x14ac:dyDescent="0.25">
      <c r="A62" s="27" t="s">
        <v>115</v>
      </c>
      <c r="B62" s="28" t="s">
        <v>116</v>
      </c>
      <c r="C62" s="29">
        <v>2250</v>
      </c>
      <c r="D62" s="29">
        <v>174.77873081324233</v>
      </c>
      <c r="E62" s="29">
        <f t="shared" si="5"/>
        <v>0</v>
      </c>
      <c r="F62" s="29"/>
      <c r="G62" s="29"/>
      <c r="H62" s="29">
        <f t="shared" si="6"/>
        <v>0</v>
      </c>
      <c r="I62" s="29"/>
      <c r="J62" s="29"/>
      <c r="K62" s="50"/>
      <c r="L62" s="29">
        <f t="shared" si="7"/>
        <v>335.19</v>
      </c>
      <c r="M62" s="29">
        <f t="shared" si="8"/>
        <v>0</v>
      </c>
      <c r="N62" s="29">
        <f t="shared" si="9"/>
        <v>2089.5887308132424</v>
      </c>
      <c r="O62" s="29">
        <f t="shared" si="10"/>
        <v>242.47787308132425</v>
      </c>
      <c r="P62" s="29">
        <f>+'C&amp;A'!D63*0.02</f>
        <v>21.911999999999999</v>
      </c>
      <c r="Q62" s="29">
        <f t="shared" si="11"/>
        <v>2689.1686038945663</v>
      </c>
      <c r="R62" s="29">
        <f t="shared" si="12"/>
        <v>430.26697662313063</v>
      </c>
      <c r="S62" s="29">
        <f t="shared" si="13"/>
        <v>3119.435580517697</v>
      </c>
      <c r="T62" s="62">
        <f>+'C&amp;A'!H63+SINDICATO!L63</f>
        <v>2089.5887308132424</v>
      </c>
      <c r="U62" s="29">
        <f t="shared" si="14"/>
        <v>0</v>
      </c>
      <c r="V62" s="148"/>
      <c r="W62" s="149" t="s">
        <v>289</v>
      </c>
      <c r="X62" s="149" t="s">
        <v>115</v>
      </c>
      <c r="Y62" s="149" t="s">
        <v>249</v>
      </c>
      <c r="Z62" s="149"/>
      <c r="AA62" s="149"/>
      <c r="AB62" s="151">
        <v>1237.2399999999998</v>
      </c>
      <c r="AC62" s="149">
        <v>1012.76</v>
      </c>
      <c r="AD62" s="151">
        <f t="shared" si="23"/>
        <v>2250</v>
      </c>
      <c r="AE62" s="151"/>
      <c r="AF62" s="151"/>
      <c r="AG62" s="151"/>
      <c r="AH62" s="152"/>
      <c r="AI62" s="134">
        <f t="shared" si="16"/>
        <v>2424.7787308132424</v>
      </c>
      <c r="AJ62" s="151"/>
      <c r="AK62" s="111"/>
      <c r="AL62" s="111"/>
      <c r="AM62" s="153"/>
      <c r="AN62" s="153">
        <v>335.19</v>
      </c>
      <c r="AO62" s="134">
        <f t="shared" si="0"/>
        <v>2089.5887308132424</v>
      </c>
      <c r="AP62" s="111">
        <f t="shared" si="1"/>
        <v>0</v>
      </c>
      <c r="AQ62" s="134">
        <f t="shared" si="2"/>
        <v>2089.5887308132424</v>
      </c>
      <c r="AR62" s="111">
        <f t="shared" si="17"/>
        <v>242.47787308132425</v>
      </c>
      <c r="AS62" s="111">
        <f t="shared" si="3"/>
        <v>24.744799999999998</v>
      </c>
      <c r="AT62" s="134">
        <f t="shared" si="4"/>
        <v>2692.0014038945665</v>
      </c>
      <c r="AU62" s="113"/>
      <c r="AV62" s="30"/>
      <c r="AW62" s="30"/>
      <c r="AX62" s="30"/>
      <c r="AY62" s="30"/>
      <c r="AZ62" s="30"/>
      <c r="BA62" s="30"/>
      <c r="BK62" s="55">
        <f t="shared" si="18"/>
        <v>2424.7787308132424</v>
      </c>
      <c r="BL62" s="29">
        <f t="shared" si="19"/>
        <v>242.47787308132425</v>
      </c>
      <c r="BM62" s="29">
        <f t="shared" si="20"/>
        <v>0</v>
      </c>
      <c r="BU62" s="50">
        <f t="shared" si="21"/>
        <v>2424.7787308132424</v>
      </c>
      <c r="BV62" s="50">
        <f>+'C&amp;A'!H63+SINDICATO!D63</f>
        <v>2424.7787308132424</v>
      </c>
      <c r="BW62" s="50">
        <f t="shared" si="22"/>
        <v>0</v>
      </c>
      <c r="BX62" s="55" t="s">
        <v>320</v>
      </c>
    </row>
    <row r="63" spans="1:76" s="30" customFormat="1" ht="15.75" x14ac:dyDescent="0.25">
      <c r="A63" s="27" t="s">
        <v>117</v>
      </c>
      <c r="B63" s="28" t="s">
        <v>118</v>
      </c>
      <c r="C63" s="29">
        <v>1200</v>
      </c>
      <c r="D63" s="29">
        <v>174.77873081324233</v>
      </c>
      <c r="E63" s="29">
        <f t="shared" si="5"/>
        <v>1025.7</v>
      </c>
      <c r="F63" s="29"/>
      <c r="G63" s="29"/>
      <c r="H63" s="29">
        <f t="shared" si="6"/>
        <v>0</v>
      </c>
      <c r="I63" s="29"/>
      <c r="J63" s="29"/>
      <c r="K63" s="50"/>
      <c r="L63" s="29">
        <f t="shared" si="7"/>
        <v>303.79000000000002</v>
      </c>
      <c r="M63" s="29">
        <f t="shared" si="8"/>
        <v>0</v>
      </c>
      <c r="N63" s="29">
        <f t="shared" si="9"/>
        <v>2096.6887308132427</v>
      </c>
      <c r="O63" s="29">
        <f t="shared" si="10"/>
        <v>240.04787308132427</v>
      </c>
      <c r="P63" s="29">
        <f>+'C&amp;A'!D64*0.02</f>
        <v>21.911999999999999</v>
      </c>
      <c r="Q63" s="29">
        <f t="shared" si="11"/>
        <v>2662.4386038945668</v>
      </c>
      <c r="R63" s="29">
        <f t="shared" si="12"/>
        <v>425.99017662313071</v>
      </c>
      <c r="S63" s="29">
        <f t="shared" si="13"/>
        <v>3088.4287805176973</v>
      </c>
      <c r="T63" s="62">
        <f>+'C&amp;A'!H64+SINDICATO!L64</f>
        <v>2096.6887308132427</v>
      </c>
      <c r="U63" s="29">
        <f t="shared" si="14"/>
        <v>0</v>
      </c>
      <c r="V63" s="148"/>
      <c r="W63" s="149" t="s">
        <v>290</v>
      </c>
      <c r="X63" s="150" t="s">
        <v>117</v>
      </c>
      <c r="Y63" s="149" t="s">
        <v>123</v>
      </c>
      <c r="Z63" s="149"/>
      <c r="AA63" s="149"/>
      <c r="AB63" s="151">
        <v>1237.2399999999998</v>
      </c>
      <c r="AC63" s="149">
        <v>-37.239999999999782</v>
      </c>
      <c r="AD63" s="151">
        <f t="shared" si="23"/>
        <v>1200</v>
      </c>
      <c r="AE63" s="151">
        <v>1025.7</v>
      </c>
      <c r="AF63" s="151"/>
      <c r="AG63" s="151"/>
      <c r="AH63" s="152"/>
      <c r="AI63" s="134">
        <f t="shared" si="16"/>
        <v>2400.4787308132422</v>
      </c>
      <c r="AJ63" s="151"/>
      <c r="AK63" s="111"/>
      <c r="AL63" s="111"/>
      <c r="AM63" s="153"/>
      <c r="AN63" s="153">
        <v>303.79000000000002</v>
      </c>
      <c r="AO63" s="134">
        <f t="shared" si="0"/>
        <v>2096.6887308132423</v>
      </c>
      <c r="AP63" s="111">
        <f t="shared" si="1"/>
        <v>0</v>
      </c>
      <c r="AQ63" s="134">
        <f t="shared" si="2"/>
        <v>2096.6887308132423</v>
      </c>
      <c r="AR63" s="111">
        <f t="shared" si="17"/>
        <v>240.04787308132424</v>
      </c>
      <c r="AS63" s="111">
        <f t="shared" si="3"/>
        <v>24.744799999999998</v>
      </c>
      <c r="AT63" s="134">
        <f t="shared" si="4"/>
        <v>2665.2714038945664</v>
      </c>
      <c r="AU63" s="113"/>
      <c r="AV63" s="28"/>
      <c r="AW63" s="28"/>
      <c r="AX63" s="28"/>
      <c r="AY63" s="28"/>
      <c r="AZ63" s="28"/>
      <c r="BA63" s="28"/>
      <c r="BK63" s="55">
        <f t="shared" si="18"/>
        <v>2400.4787308132427</v>
      </c>
      <c r="BL63" s="29">
        <f t="shared" si="19"/>
        <v>240.04787308132427</v>
      </c>
      <c r="BM63" s="29">
        <f t="shared" si="20"/>
        <v>0</v>
      </c>
      <c r="BU63" s="50">
        <f t="shared" si="21"/>
        <v>2400.4787308132427</v>
      </c>
      <c r="BV63" s="50">
        <f>+'C&amp;A'!H64+SINDICATO!D64</f>
        <v>2400.4787308132427</v>
      </c>
      <c r="BW63" s="50">
        <f t="shared" si="22"/>
        <v>0</v>
      </c>
      <c r="BX63" s="55" t="s">
        <v>317</v>
      </c>
    </row>
    <row r="64" spans="1:76" s="28" customFormat="1" ht="15.75" hidden="1" thickBot="1" x14ac:dyDescent="0.3">
      <c r="A64" s="31" t="s">
        <v>120</v>
      </c>
      <c r="B64" s="30" t="s">
        <v>121</v>
      </c>
      <c r="C64" s="32">
        <f>SUM(C9:C63)</f>
        <v>177950</v>
      </c>
      <c r="D64" s="32">
        <f t="shared" ref="D64" si="24">SUM(D9:D63)</f>
        <v>6565.5292674505772</v>
      </c>
      <c r="E64" s="32">
        <f>SUM(E9:E63)</f>
        <v>35449.24</v>
      </c>
      <c r="F64" s="32">
        <f t="shared" ref="F64:U64" si="25">SUM(F9:F63)</f>
        <v>1000</v>
      </c>
      <c r="G64" s="32">
        <f t="shared" si="25"/>
        <v>750</v>
      </c>
      <c r="H64" s="32">
        <f t="shared" si="25"/>
        <v>874.46999999999991</v>
      </c>
      <c r="I64" s="32">
        <f t="shared" si="25"/>
        <v>117.81</v>
      </c>
      <c r="J64" s="32">
        <f t="shared" si="25"/>
        <v>366.66666666666669</v>
      </c>
      <c r="K64" s="32">
        <f t="shared" si="25"/>
        <v>0</v>
      </c>
      <c r="L64" s="32">
        <f t="shared" si="25"/>
        <v>10740.55</v>
      </c>
      <c r="M64" s="32">
        <f t="shared" si="25"/>
        <v>10522.562</v>
      </c>
      <c r="N64" s="32">
        <f>SUM(N9:N63)</f>
        <v>199092.7106007839</v>
      </c>
      <c r="O64" s="32">
        <f t="shared" si="25"/>
        <v>11559.395926745057</v>
      </c>
      <c r="P64" s="32">
        <f>SUM(P9:P63)</f>
        <v>1161.3360000000007</v>
      </c>
      <c r="Q64" s="32">
        <f>SUM(Q9:Q63)</f>
        <v>233076.55452752893</v>
      </c>
      <c r="R64" s="32">
        <f t="shared" si="25"/>
        <v>37292.24872440465</v>
      </c>
      <c r="S64" s="32">
        <f t="shared" si="25"/>
        <v>270368.8032519336</v>
      </c>
      <c r="T64" s="32">
        <f t="shared" si="25"/>
        <v>195960.95860078384</v>
      </c>
      <c r="U64" s="32">
        <f t="shared" si="25"/>
        <v>-3131.7520000000036</v>
      </c>
      <c r="V64" s="32">
        <f t="shared" ref="V64" si="26">SUM(V9:V63)</f>
        <v>0</v>
      </c>
      <c r="W64" s="32">
        <f t="shared" ref="W64" si="27">SUM(W9:W63)</f>
        <v>0</v>
      </c>
      <c r="X64" s="32">
        <f t="shared" ref="X64" si="28">SUM(X9:X63)</f>
        <v>175</v>
      </c>
      <c r="Y64" s="32">
        <f t="shared" ref="Y64" si="29">SUM(Y9:Y63)</f>
        <v>0</v>
      </c>
      <c r="Z64" s="32">
        <f t="shared" ref="Z64" si="30">SUM(Z9:Z63)</f>
        <v>0</v>
      </c>
      <c r="AA64" s="32">
        <f t="shared" ref="AA64" si="31">SUM(AA9:AA63)</f>
        <v>0</v>
      </c>
      <c r="AB64" s="32">
        <f t="shared" ref="AB64" si="32">SUM(AB9:AB63)</f>
        <v>67705.279999999955</v>
      </c>
      <c r="AC64" s="32">
        <f t="shared" ref="AC64" si="33">SUM(AC9:AC63)</f>
        <v>111444.71999999994</v>
      </c>
      <c r="AD64" s="32">
        <f t="shared" ref="AD64" si="34">SUM(AD9:AD63)</f>
        <v>179150</v>
      </c>
      <c r="AE64" s="32">
        <f t="shared" ref="AE64" si="35">SUM(AE9:AE63)</f>
        <v>32089.24</v>
      </c>
      <c r="AF64" s="32">
        <f t="shared" ref="AF64" si="36">SUM(AF9:AF63)</f>
        <v>0</v>
      </c>
      <c r="AG64" s="32">
        <f t="shared" ref="AG64" si="37">SUM(AG9:AG63)</f>
        <v>0</v>
      </c>
      <c r="AH64" s="32">
        <f t="shared" ref="AH64" si="38">SUM(AH9:AH63)</f>
        <v>0</v>
      </c>
      <c r="AI64" s="32">
        <f t="shared" ref="AI64" si="39">SUM(AI9:AI63)</f>
        <v>217804.76926745055</v>
      </c>
      <c r="AJ64" s="32">
        <f t="shared" ref="AJ64" si="40">SUM(AJ9:AJ63)</f>
        <v>0</v>
      </c>
      <c r="AK64" s="32">
        <f t="shared" ref="AK64" si="41">SUM(AK9:AK63)</f>
        <v>0</v>
      </c>
      <c r="AL64" s="32">
        <f t="shared" ref="AL64" si="42">SUM(AL9:AL63)</f>
        <v>0</v>
      </c>
      <c r="AM64" s="32">
        <f t="shared" ref="AM64" si="43">SUM(AM9:AM63)</f>
        <v>874.46999999999991</v>
      </c>
      <c r="AN64" s="32">
        <f t="shared" ref="AN64" si="44">SUM(AN9:AN63)</f>
        <v>10740.55</v>
      </c>
      <c r="AO64" s="32">
        <f t="shared" ref="AO64" si="45">SUM(AO9:AO63)</f>
        <v>206189.74926745056</v>
      </c>
      <c r="AP64" s="32">
        <f t="shared" ref="AP64" si="46">SUM(AP9:AP63)</f>
        <v>10522.562</v>
      </c>
      <c r="AQ64" s="32">
        <f t="shared" ref="AQ64" si="47">SUM(AQ9:AQ63)</f>
        <v>195667.18726745056</v>
      </c>
      <c r="AR64" s="32">
        <f t="shared" ref="AR64" si="48">SUM(AR9:AR63)</f>
        <v>11257.914926745058</v>
      </c>
      <c r="AS64" s="32">
        <f t="shared" ref="AS64" si="49">SUM(AS9:AS63)</f>
        <v>1354.1055999999983</v>
      </c>
      <c r="AT64" s="32">
        <f t="shared" ref="AT64" si="50">SUM(AT9:AT63)</f>
        <v>230416.78979419553</v>
      </c>
      <c r="AU64" s="32">
        <f t="shared" ref="AU64" si="51">SUM(AU9:AU63)</f>
        <v>0</v>
      </c>
      <c r="AV64" s="32">
        <f t="shared" ref="AV64" si="52">SUM(AV9:AV63)</f>
        <v>0</v>
      </c>
      <c r="AW64" s="32">
        <f t="shared" ref="AW64" si="53">SUM(AW9:AW63)</f>
        <v>0</v>
      </c>
      <c r="AX64" s="32">
        <f t="shared" ref="AX64" si="54">SUM(AX9:AX63)</f>
        <v>0</v>
      </c>
      <c r="AY64" s="32">
        <f t="shared" ref="AY64" si="55">SUM(AY9:AY63)</f>
        <v>0</v>
      </c>
      <c r="AZ64" s="32">
        <f t="shared" ref="AZ64" si="56">SUM(AZ9:AZ63)</f>
        <v>0</v>
      </c>
      <c r="BA64" s="32">
        <f t="shared" ref="BA64" si="57">SUM(BA9:BA63)</f>
        <v>0</v>
      </c>
      <c r="BB64" s="32">
        <f t="shared" ref="BB64" si="58">SUM(BB9:BB63)</f>
        <v>0</v>
      </c>
      <c r="BC64" s="32">
        <f t="shared" ref="BC64" si="59">SUM(BC9:BC63)</f>
        <v>0</v>
      </c>
      <c r="BD64" s="32">
        <f t="shared" ref="BD64" si="60">SUM(BD9:BD63)</f>
        <v>0</v>
      </c>
      <c r="BE64" s="32">
        <f t="shared" ref="BE64" si="61">SUM(BE9:BE63)</f>
        <v>0</v>
      </c>
      <c r="BF64" s="32">
        <f t="shared" ref="BF64" si="62">SUM(BF9:BF63)</f>
        <v>0</v>
      </c>
      <c r="BG64" s="32">
        <f t="shared" ref="BG64" si="63">SUM(BG9:BG63)</f>
        <v>0</v>
      </c>
      <c r="BH64" s="32">
        <f t="shared" ref="BH64" si="64">SUM(BH9:BH63)</f>
        <v>0</v>
      </c>
      <c r="BI64" s="32">
        <f t="shared" ref="BI64" si="65">SUM(BI9:BI63)</f>
        <v>0</v>
      </c>
      <c r="BJ64" s="32">
        <f t="shared" ref="BJ64" si="66">SUM(BJ9:BJ63)</f>
        <v>0</v>
      </c>
      <c r="BK64" s="32">
        <f t="shared" ref="BK64" si="67">SUM(BK9:BK63)</f>
        <v>220840.29926745055</v>
      </c>
      <c r="BL64" s="29">
        <f t="shared" si="19"/>
        <v>0</v>
      </c>
      <c r="BM64" s="32">
        <f t="shared" ref="BM64" si="68">SUM(BM9:BM63)</f>
        <v>10524.634</v>
      </c>
      <c r="BN64" s="32">
        <f t="shared" ref="BN64" si="69">SUM(BN9:BN63)</f>
        <v>0</v>
      </c>
      <c r="BO64" s="32">
        <f t="shared" ref="BO64" si="70">SUM(BO9:BO63)</f>
        <v>0</v>
      </c>
      <c r="BP64" s="32">
        <f t="shared" ref="BP64" si="71">SUM(BP9:BP63)</f>
        <v>0</v>
      </c>
      <c r="BQ64" s="32">
        <f t="shared" ref="BQ64" si="72">SUM(BQ9:BQ63)</f>
        <v>0</v>
      </c>
      <c r="BR64" s="32">
        <f t="shared" ref="BR64" si="73">SUM(BR9:BR63)</f>
        <v>0</v>
      </c>
      <c r="BS64" s="32">
        <f t="shared" ref="BS64" si="74">SUM(BS9:BS63)</f>
        <v>0</v>
      </c>
      <c r="BT64" s="32">
        <f t="shared" ref="BT64" si="75">SUM(BT9:BT63)</f>
        <v>0</v>
      </c>
      <c r="BU64" s="32">
        <f t="shared" ref="BU64" si="76">SUM(BU9:BU63)</f>
        <v>221714.76926745055</v>
      </c>
      <c r="BV64" s="32">
        <f t="shared" ref="BV64" si="77">SUM(BV9:BV63)</f>
        <v>221714.76926745055</v>
      </c>
      <c r="BX64" s="32"/>
    </row>
    <row r="65" spans="1:47" s="158" customFormat="1" ht="16.5" hidden="1" thickBot="1" x14ac:dyDescent="0.3">
      <c r="A65" s="157"/>
      <c r="K65" s="159"/>
      <c r="N65" s="159">
        <f>+'C&amp;A'!H68+SINDICATO!L68</f>
        <v>195960.95860078384</v>
      </c>
      <c r="P65" s="160">
        <f>+C64+D64+E64+F64+G64</f>
        <v>221714.76926745058</v>
      </c>
      <c r="Q65" s="159">
        <f>+'C&amp;A'!H68+SINDICATO!D68</f>
        <v>221714.76926745049</v>
      </c>
      <c r="R65" s="160">
        <f>+Q65+P64+O64-H64-I64-J64</f>
        <v>233076.5545275289</v>
      </c>
      <c r="T65" s="161"/>
      <c r="U65" s="158">
        <f>+SINDICATO!I68</f>
        <v>3129.6800000000003</v>
      </c>
      <c r="W65" s="162"/>
      <c r="X65" s="162"/>
      <c r="Y65" s="162"/>
      <c r="Z65" s="162"/>
      <c r="AA65" s="162"/>
      <c r="AB65" s="162"/>
      <c r="AC65" s="162"/>
      <c r="AD65" s="163"/>
      <c r="AE65" s="163"/>
      <c r="AF65" s="163"/>
      <c r="AG65" s="163"/>
      <c r="AH65" s="163"/>
      <c r="AI65" s="164"/>
      <c r="AJ65" s="163"/>
      <c r="AK65" s="165"/>
      <c r="AL65" s="165"/>
      <c r="AM65" s="165"/>
      <c r="AN65" s="165"/>
      <c r="AO65" s="166"/>
      <c r="AP65" s="165"/>
      <c r="AQ65" s="164"/>
      <c r="AR65" s="165"/>
      <c r="AS65" s="165"/>
      <c r="AT65" s="164"/>
      <c r="AU65" s="167"/>
    </row>
    <row r="66" spans="1:47" s="158" customFormat="1" ht="16.5" hidden="1" thickBot="1" x14ac:dyDescent="0.3">
      <c r="A66" s="157"/>
      <c r="C66" s="158" t="s">
        <v>121</v>
      </c>
      <c r="K66" s="159"/>
      <c r="N66" s="160">
        <f>+N64-N65</f>
        <v>3131.7520000000659</v>
      </c>
      <c r="O66" s="158" t="s">
        <v>121</v>
      </c>
      <c r="P66" s="160">
        <f>+P65-Q65</f>
        <v>0</v>
      </c>
      <c r="Q66" s="160">
        <f>+Q64-Q65</f>
        <v>11361.785260078439</v>
      </c>
      <c r="R66" s="160">
        <f>+P64+O64</f>
        <v>12720.731926745058</v>
      </c>
      <c r="S66" s="158" t="s">
        <v>121</v>
      </c>
      <c r="U66" s="160">
        <f>+U64+U65</f>
        <v>-2.0720000000032996</v>
      </c>
      <c r="W66" s="168" t="s">
        <v>291</v>
      </c>
      <c r="X66" s="168"/>
      <c r="Y66" s="168"/>
      <c r="Z66" s="168"/>
      <c r="AA66" s="168"/>
      <c r="AB66" s="168"/>
      <c r="AC66" s="168"/>
      <c r="AD66" s="169">
        <f>SUM(AD9:AD63)</f>
        <v>179150</v>
      </c>
      <c r="AE66" s="169">
        <f>SUM(AE9:AE63)</f>
        <v>32089.24</v>
      </c>
      <c r="AF66" s="169">
        <f>SUM(AF9:AF62)</f>
        <v>0</v>
      </c>
      <c r="AG66" s="169">
        <f>SUM(AG9:AG62)</f>
        <v>0</v>
      </c>
      <c r="AH66" s="169">
        <f>SUM(AH9:AH62)</f>
        <v>0</v>
      </c>
      <c r="AI66" s="169">
        <f>SUM(AI9:AI63)</f>
        <v>217804.76926745055</v>
      </c>
      <c r="AJ66" s="169">
        <f t="shared" ref="AJ66:AT66" si="78">SUM(AJ9:AJ62)</f>
        <v>0</v>
      </c>
      <c r="AK66" s="169">
        <f t="shared" si="78"/>
        <v>0</v>
      </c>
      <c r="AL66" s="169">
        <f t="shared" si="78"/>
        <v>0</v>
      </c>
      <c r="AM66" s="169">
        <f t="shared" si="78"/>
        <v>874.46999999999991</v>
      </c>
      <c r="AN66" s="169">
        <f t="shared" si="78"/>
        <v>10436.759999999998</v>
      </c>
      <c r="AO66" s="169">
        <f t="shared" si="78"/>
        <v>204093.06053663732</v>
      </c>
      <c r="AP66" s="169">
        <f t="shared" si="78"/>
        <v>10522.562</v>
      </c>
      <c r="AQ66" s="169">
        <f t="shared" si="78"/>
        <v>193570.49853663731</v>
      </c>
      <c r="AR66" s="169">
        <f t="shared" si="78"/>
        <v>11017.867053663733</v>
      </c>
      <c r="AS66" s="169">
        <f t="shared" si="78"/>
        <v>1329.3607999999983</v>
      </c>
      <c r="AT66" s="169">
        <f t="shared" si="78"/>
        <v>227751.51839030097</v>
      </c>
      <c r="AU66" s="167"/>
    </row>
    <row r="67" spans="1:47" s="158" customFormat="1" hidden="1" x14ac:dyDescent="0.2">
      <c r="A67" s="157" t="s">
        <v>121</v>
      </c>
      <c r="B67" s="158" t="s">
        <v>303</v>
      </c>
      <c r="C67" s="170"/>
      <c r="D67" s="170"/>
      <c r="E67" s="170"/>
      <c r="F67" s="170"/>
      <c r="G67" s="170"/>
      <c r="H67" s="170"/>
      <c r="I67" s="170"/>
      <c r="J67" s="170"/>
      <c r="K67" s="171"/>
      <c r="L67" s="170"/>
      <c r="M67" s="170"/>
      <c r="N67" s="170"/>
      <c r="O67" s="170"/>
      <c r="P67" s="170"/>
      <c r="Q67" s="170"/>
      <c r="R67" s="172">
        <f>+Q66-R66</f>
        <v>-1358.9466666666194</v>
      </c>
      <c r="S67" s="172">
        <f>+H64+I64+J64</f>
        <v>1358.9466666666667</v>
      </c>
      <c r="T67" s="172">
        <f>+S67+R67</f>
        <v>4.7293724492192268E-11</v>
      </c>
      <c r="U67" s="170"/>
      <c r="AI67" s="160">
        <f>+C64+E64+D64</f>
        <v>219964.76926745058</v>
      </c>
    </row>
    <row r="68" spans="1:47" s="158" customFormat="1" hidden="1" x14ac:dyDescent="0.2">
      <c r="A68" s="157" t="s">
        <v>31</v>
      </c>
      <c r="B68" s="158" t="s">
        <v>32</v>
      </c>
      <c r="C68" s="173">
        <v>2250</v>
      </c>
      <c r="D68" s="173">
        <v>174.78</v>
      </c>
      <c r="E68" s="173">
        <v>0</v>
      </c>
      <c r="F68" s="173"/>
      <c r="G68" s="173"/>
      <c r="H68" s="173"/>
      <c r="I68" s="173"/>
      <c r="J68" s="173"/>
      <c r="K68" s="159">
        <v>0</v>
      </c>
      <c r="L68" s="173">
        <v>0</v>
      </c>
      <c r="M68" s="173"/>
      <c r="N68" s="173">
        <f>SUM(C68:K68)</f>
        <v>2424.7800000000002</v>
      </c>
      <c r="O68" s="173">
        <v>138.27799999999999</v>
      </c>
      <c r="P68" s="173">
        <f>+'C&amp;A'!D70*0.02</f>
        <v>21.911999999999999</v>
      </c>
      <c r="Q68" s="173">
        <f>SUM(N68:P68)</f>
        <v>2584.9699999999998</v>
      </c>
      <c r="R68" s="173">
        <f>+Q68*0.16</f>
        <v>413.59519999999998</v>
      </c>
      <c r="S68" s="173">
        <f>+Q68+R68</f>
        <v>2998.5652</v>
      </c>
      <c r="T68" s="173"/>
      <c r="U68" s="173"/>
      <c r="AI68" s="160">
        <f>+AI66-AI67</f>
        <v>-2160.0000000000291</v>
      </c>
    </row>
    <row r="69" spans="1:47" s="158" customFormat="1" x14ac:dyDescent="0.2">
      <c r="A69" s="157"/>
      <c r="K69" s="159"/>
    </row>
    <row r="71" spans="1:47" s="28" customFormat="1" ht="15.75" x14ac:dyDescent="0.25">
      <c r="A71" s="63"/>
      <c r="B71" s="61"/>
      <c r="C71" s="64"/>
      <c r="D71" s="64"/>
      <c r="E71" s="64"/>
      <c r="F71" s="64"/>
      <c r="G71" s="64"/>
      <c r="H71" s="64"/>
      <c r="I71" s="64"/>
      <c r="J71" s="64"/>
      <c r="K71" s="65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1"/>
      <c r="W71" s="122" t="s">
        <v>240</v>
      </c>
      <c r="X71" s="123"/>
      <c r="Y71" s="122" t="s">
        <v>241</v>
      </c>
      <c r="Z71" s="122"/>
      <c r="AA71" s="122"/>
      <c r="AB71" s="124">
        <v>0</v>
      </c>
      <c r="AC71" s="124">
        <v>0</v>
      </c>
      <c r="AD71" s="124">
        <f t="shared" ref="AD71" si="79">+AB71+AC71</f>
        <v>0</v>
      </c>
      <c r="AE71" s="124"/>
      <c r="AF71" s="124"/>
      <c r="AG71" s="124"/>
      <c r="AH71" s="125"/>
      <c r="AI71" s="126">
        <f t="shared" ref="AI71" si="80">SUM(AD71:AG71)-AH71</f>
        <v>0</v>
      </c>
      <c r="AJ71" s="124"/>
      <c r="AK71" s="127"/>
      <c r="AL71" s="127"/>
      <c r="AM71" s="128"/>
      <c r="AN71" s="128"/>
      <c r="AO71" s="126">
        <f t="shared" ref="AO71" si="81">+AI71-SUM(AJ71:AN71)</f>
        <v>0</v>
      </c>
      <c r="AP71" s="127"/>
      <c r="AQ71" s="126">
        <f t="shared" ref="AQ71" si="82">+AO71-AP71</f>
        <v>0</v>
      </c>
      <c r="AR71" s="127">
        <f t="shared" ref="AR71" si="83">IF(AI71&lt;4500,AI71*0.1,0)</f>
        <v>0</v>
      </c>
      <c r="AS71" s="127">
        <f t="shared" ref="AS71" si="84">AB71*0.02</f>
        <v>0</v>
      </c>
      <c r="AT71" s="126">
        <f t="shared" ref="AT71" si="85">+AI71+AR71+AS71</f>
        <v>0</v>
      </c>
      <c r="AU71" s="129" t="s">
        <v>242</v>
      </c>
    </row>
  </sheetData>
  <autoFilter ref="A8:BX68">
    <filterColumn colId="75">
      <filters>
        <filter val="683-001-001"/>
      </filters>
    </filterColumn>
  </autoFilter>
  <sortState ref="A40:P41">
    <sortCondition ref="B40:B41"/>
  </sortState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7"/>
  <sheetViews>
    <sheetView workbookViewId="0">
      <pane xSplit="1" ySplit="8" topLeftCell="B29" activePane="bottomRight" state="frozen"/>
      <selection pane="topRight" activeCell="B1" sqref="B1"/>
      <selection pane="bottomLeft" activeCell="A9" sqref="A9"/>
      <selection pane="bottomRight" activeCell="B40" sqref="B40"/>
    </sheetView>
  </sheetViews>
  <sheetFormatPr baseColWidth="10" defaultRowHeight="11.25" x14ac:dyDescent="0.2"/>
  <cols>
    <col min="1" max="1" width="11.42578125" style="18"/>
    <col min="2" max="2" width="26" style="18" customWidth="1"/>
    <col min="3" max="10" width="11.42578125" style="18"/>
    <col min="11" max="11" width="31.140625" style="18" bestFit="1" customWidth="1"/>
    <col min="12" max="27" width="11.42578125" style="18"/>
    <col min="28" max="16384" width="11.42578125" style="2"/>
  </cols>
  <sheetData>
    <row r="1" spans="1:27" ht="18" customHeight="1" x14ac:dyDescent="0.25">
      <c r="A1" s="38" t="s">
        <v>0</v>
      </c>
      <c r="B1" s="35" t="s">
        <v>121</v>
      </c>
      <c r="C1" s="39"/>
      <c r="D1"/>
      <c r="E1"/>
      <c r="F1"/>
      <c r="G1"/>
      <c r="H1"/>
    </row>
    <row r="2" spans="1:27" ht="24.95" customHeight="1" x14ac:dyDescent="0.25">
      <c r="A2" s="40" t="s">
        <v>1</v>
      </c>
      <c r="B2" s="41" t="s">
        <v>2</v>
      </c>
      <c r="C2" s="42"/>
      <c r="D2"/>
      <c r="E2"/>
      <c r="F2"/>
      <c r="G2"/>
      <c r="H2"/>
    </row>
    <row r="3" spans="1:27" ht="15.75" x14ac:dyDescent="0.25">
      <c r="A3"/>
      <c r="B3" s="37" t="s">
        <v>3</v>
      </c>
      <c r="C3" s="36"/>
      <c r="D3"/>
      <c r="E3"/>
      <c r="F3"/>
      <c r="G3"/>
      <c r="H3"/>
    </row>
    <row r="4" spans="1:27" ht="15" x14ac:dyDescent="0.25">
      <c r="A4"/>
      <c r="B4" s="43" t="str">
        <f>+FACTURACIÓN!B4</f>
        <v>Periodo 4 al 4 Quincenal del 16/02/2016 al 29/02/2016</v>
      </c>
      <c r="C4" s="36"/>
      <c r="D4"/>
      <c r="E4"/>
      <c r="F4"/>
      <c r="G4"/>
      <c r="H4"/>
    </row>
    <row r="5" spans="1:27" ht="15" x14ac:dyDescent="0.25">
      <c r="A5"/>
      <c r="B5" s="5" t="s">
        <v>4</v>
      </c>
      <c r="C5"/>
      <c r="D5"/>
      <c r="E5"/>
      <c r="F5"/>
      <c r="G5"/>
      <c r="H5"/>
    </row>
    <row r="6" spans="1:27" ht="15" x14ac:dyDescent="0.25">
      <c r="A6"/>
      <c r="B6" s="5" t="s">
        <v>5</v>
      </c>
      <c r="C6"/>
      <c r="D6"/>
      <c r="E6"/>
      <c r="F6"/>
      <c r="G6"/>
      <c r="H6"/>
    </row>
    <row r="8" spans="1:27" s="4" customFormat="1" ht="34.5" thickBot="1" x14ac:dyDescent="0.25">
      <c r="A8" s="7" t="s">
        <v>6</v>
      </c>
      <c r="B8" s="8" t="s">
        <v>7</v>
      </c>
      <c r="C8" s="8" t="s">
        <v>8</v>
      </c>
      <c r="D8" s="9" t="s">
        <v>9</v>
      </c>
      <c r="E8" s="8" t="s">
        <v>10</v>
      </c>
      <c r="F8" s="8" t="s">
        <v>11</v>
      </c>
      <c r="G8" s="9" t="s">
        <v>12</v>
      </c>
      <c r="H8" s="10" t="s">
        <v>13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ht="15.75" thickTop="1" x14ac:dyDescent="0.25">
      <c r="A9"/>
      <c r="B9"/>
      <c r="C9"/>
      <c r="D9"/>
      <c r="E9"/>
      <c r="F9"/>
      <c r="G9"/>
      <c r="H9"/>
    </row>
    <row r="10" spans="1:27" x14ac:dyDescent="0.2">
      <c r="A10" s="3" t="s">
        <v>15</v>
      </c>
      <c r="B10" s="2" t="s">
        <v>16</v>
      </c>
      <c r="C10" s="11">
        <v>1095.5999999999999</v>
      </c>
      <c r="D10" s="11">
        <v>1095.5999999999999</v>
      </c>
      <c r="E10" s="12">
        <v>-141.59</v>
      </c>
      <c r="F10" s="12">
        <v>-0.01</v>
      </c>
      <c r="G10" s="11">
        <v>-141.6</v>
      </c>
      <c r="H10" s="11">
        <v>1237.2</v>
      </c>
      <c r="I10" s="28" t="str">
        <f t="shared" ref="I10:I41" si="0">IF(B10=K10,"si","no")</f>
        <v>si</v>
      </c>
      <c r="J10" s="63" t="s">
        <v>15</v>
      </c>
      <c r="K10" s="61" t="s">
        <v>16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x14ac:dyDescent="0.2">
      <c r="A11" s="3" t="s">
        <v>17</v>
      </c>
      <c r="B11" s="2" t="s">
        <v>18</v>
      </c>
      <c r="C11" s="11">
        <v>1095.5999999999999</v>
      </c>
      <c r="D11" s="11">
        <v>1095.5999999999999</v>
      </c>
      <c r="E11" s="12">
        <v>-141.59</v>
      </c>
      <c r="F11" s="12">
        <v>-0.01</v>
      </c>
      <c r="G11" s="11">
        <v>-141.6</v>
      </c>
      <c r="H11" s="11">
        <v>1237.2</v>
      </c>
      <c r="I11" s="28" t="str">
        <f t="shared" si="0"/>
        <v>si</v>
      </c>
      <c r="J11" s="63" t="s">
        <v>17</v>
      </c>
      <c r="K11" s="61" t="s">
        <v>18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x14ac:dyDescent="0.2">
      <c r="A12" s="3" t="s">
        <v>19</v>
      </c>
      <c r="B12" s="2" t="s">
        <v>20</v>
      </c>
      <c r="C12" s="11">
        <v>1095.5999999999999</v>
      </c>
      <c r="D12" s="11">
        <v>1095.5999999999999</v>
      </c>
      <c r="E12" s="12">
        <v>-141.59</v>
      </c>
      <c r="F12" s="12">
        <v>-0.01</v>
      </c>
      <c r="G12" s="11">
        <v>-141.6</v>
      </c>
      <c r="H12" s="11">
        <v>1237.2</v>
      </c>
      <c r="I12" s="28" t="str">
        <f t="shared" si="0"/>
        <v>si</v>
      </c>
      <c r="J12" s="63" t="s">
        <v>19</v>
      </c>
      <c r="K12" s="61" t="s">
        <v>20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x14ac:dyDescent="0.2">
      <c r="A13" s="3" t="s">
        <v>21</v>
      </c>
      <c r="B13" s="2" t="s">
        <v>22</v>
      </c>
      <c r="C13" s="11">
        <v>1095.5999999999999</v>
      </c>
      <c r="D13" s="11">
        <v>1095.5999999999999</v>
      </c>
      <c r="E13" s="12">
        <v>-141.59</v>
      </c>
      <c r="F13" s="12">
        <v>-0.01</v>
      </c>
      <c r="G13" s="11">
        <v>-141.6</v>
      </c>
      <c r="H13" s="11">
        <v>1237.2</v>
      </c>
      <c r="I13" s="28" t="str">
        <f t="shared" si="0"/>
        <v>si</v>
      </c>
      <c r="J13" s="63" t="s">
        <v>21</v>
      </c>
      <c r="K13" s="61" t="s">
        <v>22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x14ac:dyDescent="0.2">
      <c r="A14" s="3" t="s">
        <v>23</v>
      </c>
      <c r="B14" s="2" t="s">
        <v>24</v>
      </c>
      <c r="C14" s="11">
        <v>1095.5999999999999</v>
      </c>
      <c r="D14" s="11">
        <v>1095.5999999999999</v>
      </c>
      <c r="E14" s="12">
        <v>-141.59</v>
      </c>
      <c r="F14" s="12">
        <v>-0.01</v>
      </c>
      <c r="G14" s="11">
        <v>-141.6</v>
      </c>
      <c r="H14" s="11">
        <v>1237.2</v>
      </c>
      <c r="I14" s="28" t="str">
        <f t="shared" si="0"/>
        <v>si</v>
      </c>
      <c r="J14" s="63" t="s">
        <v>23</v>
      </c>
      <c r="K14" s="61" t="s">
        <v>24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x14ac:dyDescent="0.2">
      <c r="A15" s="3" t="s">
        <v>25</v>
      </c>
      <c r="B15" s="2" t="s">
        <v>26</v>
      </c>
      <c r="C15" s="11">
        <v>1095.5999999999999</v>
      </c>
      <c r="D15" s="11">
        <v>1095.5999999999999</v>
      </c>
      <c r="E15" s="12">
        <v>-141.59</v>
      </c>
      <c r="F15" s="12">
        <v>-0.01</v>
      </c>
      <c r="G15" s="11">
        <v>-141.6</v>
      </c>
      <c r="H15" s="11">
        <v>1237.2</v>
      </c>
      <c r="I15" s="28" t="str">
        <f t="shared" si="0"/>
        <v>si</v>
      </c>
      <c r="J15" s="63" t="s">
        <v>25</v>
      </c>
      <c r="K15" s="61" t="s">
        <v>26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x14ac:dyDescent="0.2">
      <c r="A16" s="3" t="s">
        <v>27</v>
      </c>
      <c r="B16" s="2" t="s">
        <v>28</v>
      </c>
      <c r="C16" s="11">
        <v>1095.5999999999999</v>
      </c>
      <c r="D16" s="11">
        <v>1095.5999999999999</v>
      </c>
      <c r="E16" s="12">
        <v>-141.59</v>
      </c>
      <c r="F16" s="12">
        <v>-0.01</v>
      </c>
      <c r="G16" s="11">
        <v>-141.6</v>
      </c>
      <c r="H16" s="11">
        <v>1237.2</v>
      </c>
      <c r="I16" s="28" t="str">
        <f t="shared" si="0"/>
        <v>si</v>
      </c>
      <c r="J16" s="63" t="s">
        <v>27</v>
      </c>
      <c r="K16" s="61" t="s">
        <v>28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x14ac:dyDescent="0.2">
      <c r="A17" s="3" t="s">
        <v>29</v>
      </c>
      <c r="B17" s="2" t="s">
        <v>30</v>
      </c>
      <c r="C17" s="11">
        <v>1022.56</v>
      </c>
      <c r="D17" s="11">
        <f>+C17</f>
        <v>1022.56</v>
      </c>
      <c r="E17" s="12">
        <f>-141.59/15*14</f>
        <v>-132.15066666666667</v>
      </c>
      <c r="F17" s="12">
        <v>0.11</v>
      </c>
      <c r="G17" s="11">
        <f>+E17+F17</f>
        <v>-132.04066666666665</v>
      </c>
      <c r="H17" s="11">
        <f>+D17-G17</f>
        <v>1154.6006666666667</v>
      </c>
      <c r="I17" s="28" t="str">
        <f t="shared" si="0"/>
        <v>si</v>
      </c>
      <c r="J17" s="63" t="s">
        <v>29</v>
      </c>
      <c r="K17" s="61" t="s">
        <v>30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x14ac:dyDescent="0.2">
      <c r="A18" s="3" t="s">
        <v>33</v>
      </c>
      <c r="B18" s="2" t="s">
        <v>34</v>
      </c>
      <c r="C18" s="11">
        <v>1095.5999999999999</v>
      </c>
      <c r="D18" s="11">
        <v>1095.5999999999999</v>
      </c>
      <c r="E18" s="12">
        <v>-141.59</v>
      </c>
      <c r="F18" s="11">
        <v>0.19</v>
      </c>
      <c r="G18" s="11">
        <v>-141.4</v>
      </c>
      <c r="H18" s="11">
        <v>1237</v>
      </c>
      <c r="I18" s="28" t="str">
        <f t="shared" si="0"/>
        <v>si</v>
      </c>
      <c r="J18" s="63" t="s">
        <v>33</v>
      </c>
      <c r="K18" s="61" t="s">
        <v>34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x14ac:dyDescent="0.2">
      <c r="A19" s="3" t="s">
        <v>35</v>
      </c>
      <c r="B19" s="2" t="s">
        <v>36</v>
      </c>
      <c r="C19" s="11">
        <v>1095.5999999999999</v>
      </c>
      <c r="D19" s="11">
        <v>1095.5999999999999</v>
      </c>
      <c r="E19" s="12">
        <v>-141.59</v>
      </c>
      <c r="F19" s="12">
        <v>-0.01</v>
      </c>
      <c r="G19" s="11">
        <v>-141.6</v>
      </c>
      <c r="H19" s="11">
        <v>1237.2</v>
      </c>
      <c r="I19" s="28" t="str">
        <f t="shared" si="0"/>
        <v>si</v>
      </c>
      <c r="J19" s="63" t="s">
        <v>35</v>
      </c>
      <c r="K19" s="61" t="s">
        <v>36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x14ac:dyDescent="0.2">
      <c r="A20" s="3" t="s">
        <v>37</v>
      </c>
      <c r="B20" s="2" t="s">
        <v>38</v>
      </c>
      <c r="C20" s="11">
        <v>657.36</v>
      </c>
      <c r="D20" s="11">
        <f>+C20</f>
        <v>657.36</v>
      </c>
      <c r="E20" s="12">
        <f>-141.59/15*9</f>
        <v>-84.954000000000008</v>
      </c>
      <c r="F20" s="12">
        <v>-0.09</v>
      </c>
      <c r="G20" s="11">
        <f>+E20+F20</f>
        <v>-85.044000000000011</v>
      </c>
      <c r="H20" s="11">
        <f>+D20-G20</f>
        <v>742.404</v>
      </c>
      <c r="I20" s="28" t="str">
        <f t="shared" si="0"/>
        <v>si</v>
      </c>
      <c r="J20" s="63" t="s">
        <v>37</v>
      </c>
      <c r="K20" s="61" t="s">
        <v>38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x14ac:dyDescent="0.2">
      <c r="A21" s="3" t="s">
        <v>39</v>
      </c>
      <c r="B21" s="2" t="s">
        <v>40</v>
      </c>
      <c r="C21" s="11">
        <v>1095.5999999999999</v>
      </c>
      <c r="D21" s="11">
        <v>1095.5999999999999</v>
      </c>
      <c r="E21" s="12">
        <v>-141.59</v>
      </c>
      <c r="F21" s="12">
        <v>-0.01</v>
      </c>
      <c r="G21" s="11">
        <v>-141.6</v>
      </c>
      <c r="H21" s="11">
        <v>1237.2</v>
      </c>
      <c r="I21" s="28" t="str">
        <f t="shared" si="0"/>
        <v>si</v>
      </c>
      <c r="J21" s="63" t="s">
        <v>39</v>
      </c>
      <c r="K21" s="61" t="s">
        <v>40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x14ac:dyDescent="0.2">
      <c r="A22" s="3" t="s">
        <v>41</v>
      </c>
      <c r="B22" s="2" t="s">
        <v>42</v>
      </c>
      <c r="C22" s="11">
        <v>1095.5999999999999</v>
      </c>
      <c r="D22" s="11">
        <v>1095.5999999999999</v>
      </c>
      <c r="E22" s="12">
        <v>-141.59</v>
      </c>
      <c r="F22" s="12">
        <v>-0.01</v>
      </c>
      <c r="G22" s="11">
        <v>-141.6</v>
      </c>
      <c r="H22" s="11">
        <v>1237.2</v>
      </c>
      <c r="I22" s="28" t="str">
        <f t="shared" si="0"/>
        <v>si</v>
      </c>
      <c r="J22" s="63" t="s">
        <v>41</v>
      </c>
      <c r="K22" s="61" t="s">
        <v>42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x14ac:dyDescent="0.2">
      <c r="A23" s="3" t="s">
        <v>43</v>
      </c>
      <c r="B23" s="2" t="s">
        <v>44</v>
      </c>
      <c r="C23" s="11">
        <v>1095.5999999999999</v>
      </c>
      <c r="D23" s="11">
        <v>1095.5999999999999</v>
      </c>
      <c r="E23" s="12">
        <v>-141.59</v>
      </c>
      <c r="F23" s="12">
        <v>-0.01</v>
      </c>
      <c r="G23" s="11">
        <v>-141.6</v>
      </c>
      <c r="H23" s="11">
        <v>1237.2</v>
      </c>
      <c r="I23" s="28" t="str">
        <f t="shared" si="0"/>
        <v>si</v>
      </c>
      <c r="J23" s="63" t="s">
        <v>43</v>
      </c>
      <c r="K23" s="61" t="s">
        <v>44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x14ac:dyDescent="0.2">
      <c r="A24" s="3" t="s">
        <v>45</v>
      </c>
      <c r="B24" s="2" t="s">
        <v>46</v>
      </c>
      <c r="C24" s="11">
        <v>1095.5999999999999</v>
      </c>
      <c r="D24" s="11">
        <v>1095.5999999999999</v>
      </c>
      <c r="E24" s="12">
        <v>-141.59</v>
      </c>
      <c r="F24" s="12">
        <v>-0.01</v>
      </c>
      <c r="G24" s="11">
        <v>-141.6</v>
      </c>
      <c r="H24" s="11">
        <v>1237.2</v>
      </c>
      <c r="I24" s="28" t="str">
        <f t="shared" si="0"/>
        <v>si</v>
      </c>
      <c r="J24" s="63" t="s">
        <v>45</v>
      </c>
      <c r="K24" s="61" t="s">
        <v>46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x14ac:dyDescent="0.2">
      <c r="A25" s="3" t="s">
        <v>163</v>
      </c>
      <c r="B25" s="2" t="s">
        <v>158</v>
      </c>
      <c r="C25" s="11">
        <v>1095.5999999999999</v>
      </c>
      <c r="D25" s="11">
        <v>1095.5999999999999</v>
      </c>
      <c r="E25" s="12">
        <v>-141.59</v>
      </c>
      <c r="F25" s="12">
        <v>-0.01</v>
      </c>
      <c r="G25" s="11">
        <v>-141.6</v>
      </c>
      <c r="H25" s="11">
        <v>1237.2</v>
      </c>
      <c r="I25" s="28" t="str">
        <f t="shared" si="0"/>
        <v>si</v>
      </c>
      <c r="J25" s="66" t="s">
        <v>163</v>
      </c>
      <c r="K25" s="61" t="s">
        <v>158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x14ac:dyDescent="0.2">
      <c r="A26" s="3" t="s">
        <v>47</v>
      </c>
      <c r="B26" s="2" t="s">
        <v>48</v>
      </c>
      <c r="C26" s="11">
        <v>0</v>
      </c>
      <c r="D26" s="11">
        <v>0</v>
      </c>
      <c r="E26" s="12">
        <v>0</v>
      </c>
      <c r="F26" s="12">
        <v>0</v>
      </c>
      <c r="G26" s="11">
        <v>0</v>
      </c>
      <c r="H26" s="11">
        <v>0</v>
      </c>
      <c r="I26" s="28" t="str">
        <f t="shared" si="0"/>
        <v>si</v>
      </c>
      <c r="J26" s="63" t="s">
        <v>47</v>
      </c>
      <c r="K26" s="61" t="s">
        <v>48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x14ac:dyDescent="0.2">
      <c r="A27" s="3" t="s">
        <v>49</v>
      </c>
      <c r="B27" s="2" t="s">
        <v>50</v>
      </c>
      <c r="C27" s="11">
        <v>1095.5999999999999</v>
      </c>
      <c r="D27" s="11">
        <v>1095.5999999999999</v>
      </c>
      <c r="E27" s="12">
        <v>-141.59</v>
      </c>
      <c r="F27" s="12">
        <v>-0.01</v>
      </c>
      <c r="G27" s="11">
        <v>-141.6</v>
      </c>
      <c r="H27" s="11">
        <v>1237.2</v>
      </c>
      <c r="I27" s="28" t="str">
        <f t="shared" si="0"/>
        <v>si</v>
      </c>
      <c r="J27" s="63" t="s">
        <v>49</v>
      </c>
      <c r="K27" s="61" t="s">
        <v>50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x14ac:dyDescent="0.2">
      <c r="A28" s="3" t="s">
        <v>51</v>
      </c>
      <c r="B28" s="2" t="s">
        <v>52</v>
      </c>
      <c r="C28" s="11">
        <v>1095.5999999999999</v>
      </c>
      <c r="D28" s="11">
        <v>1095.5999999999999</v>
      </c>
      <c r="E28" s="12">
        <v>-141.59</v>
      </c>
      <c r="F28" s="12">
        <v>-0.01</v>
      </c>
      <c r="G28" s="11">
        <v>-141.6</v>
      </c>
      <c r="H28" s="11">
        <v>1237.2</v>
      </c>
      <c r="I28" s="28" t="str">
        <f t="shared" si="0"/>
        <v>si</v>
      </c>
      <c r="J28" s="63" t="s">
        <v>51</v>
      </c>
      <c r="K28" s="61" t="s">
        <v>52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x14ac:dyDescent="0.2">
      <c r="A29" s="3" t="s">
        <v>53</v>
      </c>
      <c r="B29" s="2" t="s">
        <v>54</v>
      </c>
      <c r="C29" s="11">
        <v>1095.5999999999999</v>
      </c>
      <c r="D29" s="11">
        <v>1095.5999999999999</v>
      </c>
      <c r="E29" s="12">
        <v>-141.59</v>
      </c>
      <c r="F29" s="12">
        <v>-0.01</v>
      </c>
      <c r="G29" s="11">
        <v>-141.6</v>
      </c>
      <c r="H29" s="11">
        <v>1237.2</v>
      </c>
      <c r="I29" s="28" t="str">
        <f t="shared" si="0"/>
        <v>si</v>
      </c>
      <c r="J29" s="63" t="s">
        <v>53</v>
      </c>
      <c r="K29" s="61" t="s">
        <v>54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x14ac:dyDescent="0.2">
      <c r="A30" s="3" t="s">
        <v>55</v>
      </c>
      <c r="B30" s="2" t="s">
        <v>56</v>
      </c>
      <c r="C30" s="11">
        <v>1095.5999999999999</v>
      </c>
      <c r="D30" s="11">
        <v>1095.5999999999999</v>
      </c>
      <c r="E30" s="12">
        <v>-141.59</v>
      </c>
      <c r="F30" s="12">
        <v>-0.01</v>
      </c>
      <c r="G30" s="11">
        <v>-141.6</v>
      </c>
      <c r="H30" s="11">
        <v>1237.2</v>
      </c>
      <c r="I30" s="28" t="str">
        <f t="shared" si="0"/>
        <v>si</v>
      </c>
      <c r="J30" s="63" t="s">
        <v>55</v>
      </c>
      <c r="K30" s="61" t="s">
        <v>56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x14ac:dyDescent="0.2">
      <c r="A31" s="3" t="s">
        <v>164</v>
      </c>
      <c r="B31" s="2" t="s">
        <v>165</v>
      </c>
      <c r="C31" s="11">
        <v>1095.5999999999999</v>
      </c>
      <c r="D31" s="11">
        <v>1095.5999999999999</v>
      </c>
      <c r="E31" s="12">
        <v>-141.59</v>
      </c>
      <c r="F31" s="12">
        <v>-0.01</v>
      </c>
      <c r="G31" s="11">
        <v>-141.6</v>
      </c>
      <c r="H31" s="11">
        <v>1237.2</v>
      </c>
      <c r="I31" s="28" t="str">
        <f t="shared" si="0"/>
        <v>si</v>
      </c>
      <c r="J31" s="66" t="s">
        <v>164</v>
      </c>
      <c r="K31" s="61" t="s">
        <v>162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x14ac:dyDescent="0.2">
      <c r="A32" s="3" t="s">
        <v>57</v>
      </c>
      <c r="B32" s="2" t="s">
        <v>58</v>
      </c>
      <c r="C32" s="11">
        <v>1095.5999999999999</v>
      </c>
      <c r="D32" s="11">
        <v>1095.5999999999999</v>
      </c>
      <c r="E32" s="12">
        <v>-141.59</v>
      </c>
      <c r="F32" s="12">
        <v>-0.01</v>
      </c>
      <c r="G32" s="11">
        <v>-141.6</v>
      </c>
      <c r="H32" s="11">
        <v>1237.2</v>
      </c>
      <c r="I32" s="28" t="str">
        <f t="shared" si="0"/>
        <v>si</v>
      </c>
      <c r="J32" s="63" t="s">
        <v>57</v>
      </c>
      <c r="K32" s="61" t="s">
        <v>58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x14ac:dyDescent="0.2">
      <c r="A33" s="3" t="s">
        <v>59</v>
      </c>
      <c r="B33" s="2" t="s">
        <v>60</v>
      </c>
      <c r="C33" s="11">
        <v>1095.5999999999999</v>
      </c>
      <c r="D33" s="11">
        <v>1095.5999999999999</v>
      </c>
      <c r="E33" s="12">
        <v>-141.59</v>
      </c>
      <c r="F33" s="12">
        <v>-0.01</v>
      </c>
      <c r="G33" s="11">
        <v>-141.6</v>
      </c>
      <c r="H33" s="11">
        <v>1237.2</v>
      </c>
      <c r="I33" s="28" t="str">
        <f t="shared" si="0"/>
        <v>si</v>
      </c>
      <c r="J33" s="63" t="s">
        <v>59</v>
      </c>
      <c r="K33" s="61" t="s">
        <v>60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x14ac:dyDescent="0.2">
      <c r="A34" s="3" t="s">
        <v>61</v>
      </c>
      <c r="B34" s="2" t="s">
        <v>62</v>
      </c>
      <c r="C34" s="11">
        <v>1095.5999999999999</v>
      </c>
      <c r="D34" s="11">
        <v>1095.5999999999999</v>
      </c>
      <c r="E34" s="12">
        <v>-141.59</v>
      </c>
      <c r="F34" s="12">
        <v>-0.01</v>
      </c>
      <c r="G34" s="11">
        <v>-141.6</v>
      </c>
      <c r="H34" s="11">
        <v>1237.2</v>
      </c>
      <c r="I34" s="28" t="str">
        <f t="shared" si="0"/>
        <v>si</v>
      </c>
      <c r="J34" s="63" t="s">
        <v>61</v>
      </c>
      <c r="K34" s="61" t="s">
        <v>62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x14ac:dyDescent="0.2">
      <c r="A35" s="3" t="s">
        <v>63</v>
      </c>
      <c r="B35" s="2" t="s">
        <v>64</v>
      </c>
      <c r="C35" s="11">
        <v>1095.5999999999999</v>
      </c>
      <c r="D35" s="11">
        <v>1095.5999999999999</v>
      </c>
      <c r="E35" s="12">
        <v>-141.59</v>
      </c>
      <c r="F35" s="12">
        <v>-0.01</v>
      </c>
      <c r="G35" s="11">
        <v>-141.6</v>
      </c>
      <c r="H35" s="11">
        <v>1237.2</v>
      </c>
      <c r="I35" s="28" t="str">
        <f t="shared" si="0"/>
        <v>si</v>
      </c>
      <c r="J35" s="63" t="s">
        <v>63</v>
      </c>
      <c r="K35" s="61" t="s">
        <v>64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x14ac:dyDescent="0.2">
      <c r="A36" s="3" t="s">
        <v>65</v>
      </c>
      <c r="B36" s="2" t="s">
        <v>66</v>
      </c>
      <c r="C36" s="11">
        <v>1095.5999999999999</v>
      </c>
      <c r="D36" s="11">
        <v>1095.5999999999999</v>
      </c>
      <c r="E36" s="12">
        <v>-141.59</v>
      </c>
      <c r="F36" s="12">
        <v>-0.01</v>
      </c>
      <c r="G36" s="11">
        <v>-141.6</v>
      </c>
      <c r="H36" s="11">
        <v>1237.2</v>
      </c>
      <c r="I36" s="28" t="str">
        <f t="shared" si="0"/>
        <v>si</v>
      </c>
      <c r="J36" s="63" t="s">
        <v>65</v>
      </c>
      <c r="K36" s="61" t="s">
        <v>66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x14ac:dyDescent="0.2">
      <c r="A37" s="3" t="s">
        <v>67</v>
      </c>
      <c r="B37" s="2" t="s">
        <v>68</v>
      </c>
      <c r="C37" s="11">
        <v>1095.5999999999999</v>
      </c>
      <c r="D37" s="11">
        <v>1095.5999999999999</v>
      </c>
      <c r="E37" s="12">
        <v>-141.59</v>
      </c>
      <c r="F37" s="12">
        <v>-0.01</v>
      </c>
      <c r="G37" s="11">
        <v>-141.6</v>
      </c>
      <c r="H37" s="11">
        <v>1237.2</v>
      </c>
      <c r="I37" s="28" t="str">
        <f t="shared" si="0"/>
        <v>si</v>
      </c>
      <c r="J37" s="63" t="s">
        <v>67</v>
      </c>
      <c r="K37" s="61" t="s">
        <v>68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x14ac:dyDescent="0.2">
      <c r="A38" s="3" t="s">
        <v>69</v>
      </c>
      <c r="B38" s="2" t="s">
        <v>70</v>
      </c>
      <c r="C38" s="11">
        <v>1095.5999999999999</v>
      </c>
      <c r="D38" s="11">
        <v>1095.5999999999999</v>
      </c>
      <c r="E38" s="12">
        <v>-141.59</v>
      </c>
      <c r="F38" s="12">
        <v>-0.01</v>
      </c>
      <c r="G38" s="11">
        <v>-141.6</v>
      </c>
      <c r="H38" s="11">
        <v>1237.2</v>
      </c>
      <c r="I38" s="28" t="str">
        <f t="shared" si="0"/>
        <v>si</v>
      </c>
      <c r="J38" s="63" t="s">
        <v>69</v>
      </c>
      <c r="K38" s="61" t="s">
        <v>70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x14ac:dyDescent="0.2">
      <c r="A39" s="3" t="s">
        <v>71</v>
      </c>
      <c r="B39" s="2" t="s">
        <v>72</v>
      </c>
      <c r="C39" s="11">
        <v>1095.5999999999999</v>
      </c>
      <c r="D39" s="11">
        <v>1095.5999999999999</v>
      </c>
      <c r="E39" s="12">
        <v>-141.59</v>
      </c>
      <c r="F39" s="12">
        <v>-0.01</v>
      </c>
      <c r="G39" s="11">
        <v>-141.6</v>
      </c>
      <c r="H39" s="11">
        <v>1237.2</v>
      </c>
      <c r="I39" s="28" t="str">
        <f t="shared" si="0"/>
        <v>si</v>
      </c>
      <c r="J39" s="63" t="s">
        <v>71</v>
      </c>
      <c r="K39" s="61" t="s">
        <v>72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">
      <c r="A40" s="3" t="s">
        <v>73</v>
      </c>
      <c r="B40" s="2" t="s">
        <v>74</v>
      </c>
      <c r="C40" s="11">
        <v>1095.5999999999999</v>
      </c>
      <c r="D40" s="11">
        <v>1095.5999999999999</v>
      </c>
      <c r="E40" s="12">
        <v>-141.59</v>
      </c>
      <c r="F40" s="12">
        <v>-0.01</v>
      </c>
      <c r="G40" s="11">
        <v>-141.6</v>
      </c>
      <c r="H40" s="11">
        <v>1237.2</v>
      </c>
      <c r="I40" s="28" t="str">
        <f t="shared" si="0"/>
        <v>si</v>
      </c>
      <c r="J40" s="63" t="s">
        <v>73</v>
      </c>
      <c r="K40" s="61" t="s">
        <v>74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x14ac:dyDescent="0.2">
      <c r="A41" s="3" t="s">
        <v>159</v>
      </c>
      <c r="B41" s="2" t="s">
        <v>160</v>
      </c>
      <c r="C41" s="11">
        <v>1095.5999999999999</v>
      </c>
      <c r="D41" s="11">
        <v>1095.5999999999999</v>
      </c>
      <c r="E41" s="12">
        <v>-141.59</v>
      </c>
      <c r="F41" s="12">
        <v>-0.01</v>
      </c>
      <c r="G41" s="11">
        <v>-141.6</v>
      </c>
      <c r="H41" s="11">
        <v>1237.2</v>
      </c>
      <c r="I41" s="28" t="str">
        <f t="shared" si="0"/>
        <v>si</v>
      </c>
      <c r="J41" s="63" t="s">
        <v>159</v>
      </c>
      <c r="K41" s="61" t="s">
        <v>160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x14ac:dyDescent="0.2">
      <c r="A42" s="3" t="s">
        <v>75</v>
      </c>
      <c r="B42" s="2" t="s">
        <v>76</v>
      </c>
      <c r="C42" s="11">
        <v>1095.5999999999999</v>
      </c>
      <c r="D42" s="11">
        <v>1095.5999999999999</v>
      </c>
      <c r="E42" s="12">
        <v>-141.59</v>
      </c>
      <c r="F42" s="12">
        <v>-0.01</v>
      </c>
      <c r="G42" s="11">
        <v>-141.6</v>
      </c>
      <c r="H42" s="11">
        <v>1237.2</v>
      </c>
      <c r="I42" s="28" t="str">
        <f t="shared" ref="I42:I64" si="1">IF(B42=K42,"si","no")</f>
        <v>si</v>
      </c>
      <c r="J42" s="63" t="s">
        <v>75</v>
      </c>
      <c r="K42" s="61" t="s">
        <v>76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s="67" customFormat="1" x14ac:dyDescent="0.2">
      <c r="A43" s="66" t="s">
        <v>77</v>
      </c>
      <c r="B43" s="67" t="s">
        <v>78</v>
      </c>
      <c r="C43" s="68">
        <v>949.52</v>
      </c>
      <c r="D43" s="68">
        <f>+C43</f>
        <v>949.52</v>
      </c>
      <c r="E43" s="69">
        <f>-141.59/15*12</f>
        <v>-113.27200000000001</v>
      </c>
      <c r="F43" s="69">
        <v>-0.01</v>
      </c>
      <c r="G43" s="68">
        <f>+E43+F43</f>
        <v>-113.28200000000001</v>
      </c>
      <c r="H43" s="68">
        <f>+D43-G43</f>
        <v>1062.8019999999999</v>
      </c>
      <c r="I43" s="61" t="str">
        <f t="shared" si="1"/>
        <v>si</v>
      </c>
      <c r="J43" s="63" t="s">
        <v>77</v>
      </c>
      <c r="K43" s="61" t="s">
        <v>78</v>
      </c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</row>
    <row r="44" spans="1:27" x14ac:dyDescent="0.2">
      <c r="A44" s="3" t="s">
        <v>79</v>
      </c>
      <c r="B44" s="2" t="s">
        <v>80</v>
      </c>
      <c r="C44" s="11">
        <v>1095.5999999999999</v>
      </c>
      <c r="D44" s="11">
        <v>1095.5999999999999</v>
      </c>
      <c r="E44" s="12">
        <v>-141.59</v>
      </c>
      <c r="F44" s="12">
        <v>-0.01</v>
      </c>
      <c r="G44" s="11">
        <v>-141.6</v>
      </c>
      <c r="H44" s="11">
        <v>1237.2</v>
      </c>
      <c r="I44" s="28" t="str">
        <f t="shared" si="1"/>
        <v>si</v>
      </c>
      <c r="J44" s="63" t="s">
        <v>79</v>
      </c>
      <c r="K44" s="61" t="s">
        <v>80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x14ac:dyDescent="0.2">
      <c r="A45" s="3" t="s">
        <v>81</v>
      </c>
      <c r="B45" s="2" t="s">
        <v>82</v>
      </c>
      <c r="C45" s="11">
        <v>1095.5999999999999</v>
      </c>
      <c r="D45" s="11">
        <v>1095.5999999999999</v>
      </c>
      <c r="E45" s="12">
        <v>-141.59</v>
      </c>
      <c r="F45" s="12">
        <v>-0.01</v>
      </c>
      <c r="G45" s="11">
        <v>-141.6</v>
      </c>
      <c r="H45" s="11">
        <v>1237.2</v>
      </c>
      <c r="I45" s="28" t="str">
        <f t="shared" si="1"/>
        <v>si</v>
      </c>
      <c r="J45" s="63" t="s">
        <v>81</v>
      </c>
      <c r="K45" s="61" t="s">
        <v>82</v>
      </c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x14ac:dyDescent="0.2">
      <c r="A46" s="3" t="s">
        <v>83</v>
      </c>
      <c r="B46" s="2" t="s">
        <v>84</v>
      </c>
      <c r="C46" s="11">
        <v>1095.5999999999999</v>
      </c>
      <c r="D46" s="11">
        <v>1095.5999999999999</v>
      </c>
      <c r="E46" s="12">
        <v>-141.59</v>
      </c>
      <c r="F46" s="12">
        <v>-0.01</v>
      </c>
      <c r="G46" s="11">
        <v>-141.6</v>
      </c>
      <c r="H46" s="11">
        <v>1237.2</v>
      </c>
      <c r="I46" s="28" t="str">
        <f t="shared" si="1"/>
        <v>si</v>
      </c>
      <c r="J46" s="63" t="s">
        <v>83</v>
      </c>
      <c r="K46" s="61" t="s">
        <v>84</v>
      </c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x14ac:dyDescent="0.2">
      <c r="A47" s="3" t="s">
        <v>85</v>
      </c>
      <c r="B47" s="2" t="s">
        <v>86</v>
      </c>
      <c r="C47" s="11">
        <v>1095.5999999999999</v>
      </c>
      <c r="D47" s="11">
        <v>1095.5999999999999</v>
      </c>
      <c r="E47" s="12">
        <v>-141.59</v>
      </c>
      <c r="F47" s="12">
        <v>-0.01</v>
      </c>
      <c r="G47" s="11">
        <v>-141.6</v>
      </c>
      <c r="H47" s="11">
        <v>1237.2</v>
      </c>
      <c r="I47" s="28" t="str">
        <f t="shared" si="1"/>
        <v>si</v>
      </c>
      <c r="J47" s="63" t="s">
        <v>85</v>
      </c>
      <c r="K47" s="61" t="s">
        <v>86</v>
      </c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x14ac:dyDescent="0.2">
      <c r="A48" s="3" t="s">
        <v>166</v>
      </c>
      <c r="B48" s="2" t="s">
        <v>161</v>
      </c>
      <c r="C48" s="11">
        <v>1022.56</v>
      </c>
      <c r="D48" s="11">
        <v>1022.56</v>
      </c>
      <c r="E48" s="12">
        <v>-146.26</v>
      </c>
      <c r="F48" s="11">
        <v>0.02</v>
      </c>
      <c r="G48" s="11">
        <v>-146.24</v>
      </c>
      <c r="H48" s="11">
        <v>1168.8</v>
      </c>
      <c r="I48" s="28" t="str">
        <f t="shared" si="1"/>
        <v>si</v>
      </c>
      <c r="J48" s="66" t="s">
        <v>166</v>
      </c>
      <c r="K48" s="61" t="s">
        <v>161</v>
      </c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s="67" customFormat="1" x14ac:dyDescent="0.2">
      <c r="A49" s="66" t="s">
        <v>87</v>
      </c>
      <c r="B49" s="67" t="s">
        <v>88</v>
      </c>
      <c r="C49" s="68">
        <v>730.4</v>
      </c>
      <c r="D49" s="68">
        <f>+C49</f>
        <v>730.4</v>
      </c>
      <c r="E49" s="69">
        <f>-141.59/15*11</f>
        <v>-103.83266666666667</v>
      </c>
      <c r="F49" s="69">
        <v>0.03</v>
      </c>
      <c r="G49" s="68">
        <f>+E49+F49</f>
        <v>-103.80266666666667</v>
      </c>
      <c r="H49" s="68">
        <f>+D49-G49</f>
        <v>834.20266666666669</v>
      </c>
      <c r="I49" s="61" t="str">
        <f t="shared" si="1"/>
        <v>si</v>
      </c>
      <c r="J49" s="63" t="s">
        <v>87</v>
      </c>
      <c r="K49" s="61" t="s">
        <v>88</v>
      </c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</row>
    <row r="50" spans="1:27" x14ac:dyDescent="0.2">
      <c r="A50" s="3" t="s">
        <v>89</v>
      </c>
      <c r="B50" s="2" t="s">
        <v>90</v>
      </c>
      <c r="C50" s="11">
        <v>1095.5999999999999</v>
      </c>
      <c r="D50" s="11">
        <v>1095.5999999999999</v>
      </c>
      <c r="E50" s="12">
        <v>-141.59</v>
      </c>
      <c r="F50" s="11">
        <v>0.19</v>
      </c>
      <c r="G50" s="11">
        <v>-141.4</v>
      </c>
      <c r="H50" s="11">
        <v>1237</v>
      </c>
      <c r="I50" s="28" t="str">
        <f t="shared" si="1"/>
        <v>si</v>
      </c>
      <c r="J50" s="63" t="s">
        <v>89</v>
      </c>
      <c r="K50" s="61" t="s">
        <v>90</v>
      </c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x14ac:dyDescent="0.2">
      <c r="A51" s="3" t="s">
        <v>91</v>
      </c>
      <c r="B51" s="2" t="s">
        <v>92</v>
      </c>
      <c r="C51" s="11">
        <v>1095.5999999999999</v>
      </c>
      <c r="D51" s="11">
        <v>1095.5999999999999</v>
      </c>
      <c r="E51" s="12">
        <v>-141.59</v>
      </c>
      <c r="F51" s="12">
        <v>-0.01</v>
      </c>
      <c r="G51" s="11">
        <v>-141.6</v>
      </c>
      <c r="H51" s="11">
        <v>1237.2</v>
      </c>
      <c r="I51" s="28" t="str">
        <f t="shared" si="1"/>
        <v>si</v>
      </c>
      <c r="J51" s="63" t="s">
        <v>91</v>
      </c>
      <c r="K51" s="61" t="s">
        <v>92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x14ac:dyDescent="0.2">
      <c r="A52" s="3" t="s">
        <v>93</v>
      </c>
      <c r="B52" s="2" t="s">
        <v>94</v>
      </c>
      <c r="C52" s="11">
        <v>1095.5999999999999</v>
      </c>
      <c r="D52" s="11">
        <v>1095.5999999999999</v>
      </c>
      <c r="E52" s="12">
        <v>-141.59</v>
      </c>
      <c r="F52" s="12">
        <v>-0.01</v>
      </c>
      <c r="G52" s="11">
        <v>-141.6</v>
      </c>
      <c r="H52" s="11">
        <v>1237.2</v>
      </c>
      <c r="I52" s="28" t="str">
        <f t="shared" si="1"/>
        <v>si</v>
      </c>
      <c r="J52" s="63" t="s">
        <v>93</v>
      </c>
      <c r="K52" s="61" t="s">
        <v>94</v>
      </c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x14ac:dyDescent="0.2">
      <c r="A53" s="3" t="s">
        <v>95</v>
      </c>
      <c r="B53" s="2" t="s">
        <v>96</v>
      </c>
      <c r="C53" s="11">
        <v>1095.5999999999999</v>
      </c>
      <c r="D53" s="11">
        <v>1095.5999999999999</v>
      </c>
      <c r="E53" s="12">
        <v>-141.59</v>
      </c>
      <c r="F53" s="12">
        <v>-0.01</v>
      </c>
      <c r="G53" s="11">
        <v>-141.6</v>
      </c>
      <c r="H53" s="11">
        <v>1237.2</v>
      </c>
      <c r="I53" s="28" t="str">
        <f t="shared" si="1"/>
        <v>si</v>
      </c>
      <c r="J53" s="63" t="s">
        <v>95</v>
      </c>
      <c r="K53" s="61" t="s">
        <v>96</v>
      </c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x14ac:dyDescent="0.2">
      <c r="A54" s="3" t="s">
        <v>97</v>
      </c>
      <c r="B54" s="2" t="s">
        <v>98</v>
      </c>
      <c r="C54" s="11">
        <v>1095.5999999999999</v>
      </c>
      <c r="D54" s="11">
        <v>1095.5999999999999</v>
      </c>
      <c r="E54" s="12">
        <v>-141.59</v>
      </c>
      <c r="F54" s="12">
        <v>-0.01</v>
      </c>
      <c r="G54" s="11">
        <v>-141.6</v>
      </c>
      <c r="H54" s="11">
        <v>1237.2</v>
      </c>
      <c r="I54" s="28" t="str">
        <f t="shared" si="1"/>
        <v>si</v>
      </c>
      <c r="J54" s="63" t="s">
        <v>97</v>
      </c>
      <c r="K54" s="61" t="s">
        <v>98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x14ac:dyDescent="0.2">
      <c r="A55" s="3" t="s">
        <v>99</v>
      </c>
      <c r="B55" s="2" t="s">
        <v>100</v>
      </c>
      <c r="C55" s="11">
        <v>1095.5999999999999</v>
      </c>
      <c r="D55" s="11">
        <v>1095.5999999999999</v>
      </c>
      <c r="E55" s="12">
        <v>-141.59</v>
      </c>
      <c r="F55" s="12">
        <v>-0.01</v>
      </c>
      <c r="G55" s="11">
        <v>-141.6</v>
      </c>
      <c r="H55" s="11">
        <v>1237.2</v>
      </c>
      <c r="I55" s="28" t="str">
        <f t="shared" si="1"/>
        <v>si</v>
      </c>
      <c r="J55" s="63" t="s">
        <v>99</v>
      </c>
      <c r="K55" s="61" t="s">
        <v>100</v>
      </c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x14ac:dyDescent="0.2">
      <c r="A56" s="3" t="s">
        <v>101</v>
      </c>
      <c r="B56" s="2" t="s">
        <v>102</v>
      </c>
      <c r="C56" s="11">
        <v>1095.5999999999999</v>
      </c>
      <c r="D56" s="11">
        <v>1095.5999999999999</v>
      </c>
      <c r="E56" s="12">
        <v>-141.59</v>
      </c>
      <c r="F56" s="12">
        <v>-0.01</v>
      </c>
      <c r="G56" s="11">
        <v>-141.6</v>
      </c>
      <c r="H56" s="11">
        <v>1237.2</v>
      </c>
      <c r="I56" s="28" t="str">
        <f t="shared" si="1"/>
        <v>si</v>
      </c>
      <c r="J56" s="63" t="s">
        <v>101</v>
      </c>
      <c r="K56" s="61" t="s">
        <v>102</v>
      </c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x14ac:dyDescent="0.2">
      <c r="A57" s="3" t="s">
        <v>103</v>
      </c>
      <c r="B57" s="2" t="s">
        <v>104</v>
      </c>
      <c r="C57" s="11">
        <v>1095.5999999999999</v>
      </c>
      <c r="D57" s="11">
        <v>1095.5999999999999</v>
      </c>
      <c r="E57" s="12">
        <v>-141.59</v>
      </c>
      <c r="F57" s="12">
        <v>-0.01</v>
      </c>
      <c r="G57" s="11">
        <v>-141.6</v>
      </c>
      <c r="H57" s="11">
        <v>1237.2</v>
      </c>
      <c r="I57" s="28" t="str">
        <f t="shared" si="1"/>
        <v>si</v>
      </c>
      <c r="J57" s="63" t="s">
        <v>103</v>
      </c>
      <c r="K57" s="61" t="s">
        <v>104</v>
      </c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x14ac:dyDescent="0.2">
      <c r="A58" s="3" t="s">
        <v>105</v>
      </c>
      <c r="B58" s="2" t="s">
        <v>106</v>
      </c>
      <c r="C58" s="11">
        <v>1095.5999999999999</v>
      </c>
      <c r="D58" s="11">
        <v>1095.5999999999999</v>
      </c>
      <c r="E58" s="12">
        <v>-141.59</v>
      </c>
      <c r="F58" s="12">
        <v>-0.01</v>
      </c>
      <c r="G58" s="11">
        <v>-141.6</v>
      </c>
      <c r="H58" s="11">
        <v>1237.2</v>
      </c>
      <c r="I58" s="28" t="str">
        <f t="shared" si="1"/>
        <v>si</v>
      </c>
      <c r="J58" s="63" t="s">
        <v>105</v>
      </c>
      <c r="K58" s="61" t="s">
        <v>106</v>
      </c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x14ac:dyDescent="0.2">
      <c r="A59" s="3" t="s">
        <v>107</v>
      </c>
      <c r="B59" s="2" t="s">
        <v>108</v>
      </c>
      <c r="C59" s="11">
        <v>1095.5999999999999</v>
      </c>
      <c r="D59" s="11">
        <v>1095.5999999999999</v>
      </c>
      <c r="E59" s="12">
        <v>-141.59</v>
      </c>
      <c r="F59" s="12">
        <v>-0.01</v>
      </c>
      <c r="G59" s="11">
        <v>-141.6</v>
      </c>
      <c r="H59" s="11">
        <v>1237.2</v>
      </c>
      <c r="I59" s="28" t="str">
        <f t="shared" si="1"/>
        <v>si</v>
      </c>
      <c r="J59" s="63" t="s">
        <v>107</v>
      </c>
      <c r="K59" s="61" t="s">
        <v>108</v>
      </c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x14ac:dyDescent="0.2">
      <c r="A60" s="3" t="s">
        <v>109</v>
      </c>
      <c r="B60" s="2" t="s">
        <v>110</v>
      </c>
      <c r="C60" s="11">
        <v>1095.5999999999999</v>
      </c>
      <c r="D60" s="11">
        <v>1095.5999999999999</v>
      </c>
      <c r="E60" s="12">
        <v>-141.59</v>
      </c>
      <c r="F60" s="11">
        <v>0.19</v>
      </c>
      <c r="G60" s="11">
        <v>-141.4</v>
      </c>
      <c r="H60" s="11">
        <v>1237</v>
      </c>
      <c r="I60" s="28" t="str">
        <f t="shared" si="1"/>
        <v>si</v>
      </c>
      <c r="J60" s="63" t="s">
        <v>109</v>
      </c>
      <c r="K60" s="61" t="s">
        <v>110</v>
      </c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x14ac:dyDescent="0.2">
      <c r="A61" s="3" t="s">
        <v>111</v>
      </c>
      <c r="B61" s="2" t="s">
        <v>112</v>
      </c>
      <c r="C61" s="11">
        <v>1095.5999999999999</v>
      </c>
      <c r="D61" s="11">
        <v>1095.5999999999999</v>
      </c>
      <c r="E61" s="12">
        <v>-141.59</v>
      </c>
      <c r="F61" s="12">
        <v>-0.01</v>
      </c>
      <c r="G61" s="11">
        <v>-141.6</v>
      </c>
      <c r="H61" s="11">
        <v>1237.2</v>
      </c>
      <c r="I61" s="28" t="str">
        <f t="shared" si="1"/>
        <v>si</v>
      </c>
      <c r="J61" s="63" t="s">
        <v>111</v>
      </c>
      <c r="K61" s="61" t="s">
        <v>112</v>
      </c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x14ac:dyDescent="0.2">
      <c r="A62" s="3" t="s">
        <v>113</v>
      </c>
      <c r="B62" s="2" t="s">
        <v>114</v>
      </c>
      <c r="C62" s="11">
        <v>1095.5999999999999</v>
      </c>
      <c r="D62" s="11">
        <v>1095.5999999999999</v>
      </c>
      <c r="E62" s="12">
        <v>-141.59</v>
      </c>
      <c r="F62" s="11">
        <v>0.19</v>
      </c>
      <c r="G62" s="11">
        <v>-141.4</v>
      </c>
      <c r="H62" s="11">
        <v>1237</v>
      </c>
      <c r="I62" s="28" t="str">
        <f t="shared" si="1"/>
        <v>si</v>
      </c>
      <c r="J62" s="63" t="s">
        <v>113</v>
      </c>
      <c r="K62" s="61" t="s">
        <v>114</v>
      </c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x14ac:dyDescent="0.2">
      <c r="A63" s="3" t="s">
        <v>115</v>
      </c>
      <c r="B63" s="2" t="s">
        <v>116</v>
      </c>
      <c r="C63" s="11">
        <v>1095.5999999999999</v>
      </c>
      <c r="D63" s="11">
        <v>1095.5999999999999</v>
      </c>
      <c r="E63" s="12">
        <v>-141.59</v>
      </c>
      <c r="F63" s="12">
        <v>-0.01</v>
      </c>
      <c r="G63" s="11">
        <v>-141.6</v>
      </c>
      <c r="H63" s="11">
        <v>1237.2</v>
      </c>
      <c r="I63" s="28" t="str">
        <f t="shared" si="1"/>
        <v>si</v>
      </c>
      <c r="J63" s="63" t="s">
        <v>115</v>
      </c>
      <c r="K63" s="61" t="s">
        <v>116</v>
      </c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x14ac:dyDescent="0.2">
      <c r="A64" s="3" t="s">
        <v>117</v>
      </c>
      <c r="B64" s="2" t="s">
        <v>118</v>
      </c>
      <c r="C64" s="11">
        <v>1095.5999999999999</v>
      </c>
      <c r="D64" s="11">
        <v>1095.5999999999999</v>
      </c>
      <c r="E64" s="12">
        <v>-141.59</v>
      </c>
      <c r="F64" s="12">
        <v>-0.01</v>
      </c>
      <c r="G64" s="11">
        <v>-141.6</v>
      </c>
      <c r="H64" s="11">
        <v>1237.2</v>
      </c>
      <c r="I64" s="28" t="str">
        <f t="shared" si="1"/>
        <v>si</v>
      </c>
      <c r="J64" s="63" t="s">
        <v>117</v>
      </c>
      <c r="K64" s="61" t="s">
        <v>118</v>
      </c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14.25" x14ac:dyDescent="0.2">
      <c r="A65" s="28"/>
      <c r="B65" s="28"/>
      <c r="C65" s="28"/>
      <c r="D65" s="28"/>
      <c r="E65" s="28"/>
      <c r="F65" s="28"/>
      <c r="G65" s="28"/>
      <c r="H65" s="28"/>
      <c r="I65" s="28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x14ac:dyDescent="0.2">
      <c r="A67" s="13"/>
      <c r="B67" s="6"/>
      <c r="C67" s="6" t="s">
        <v>119</v>
      </c>
      <c r="D67" s="6" t="s">
        <v>119</v>
      </c>
      <c r="E67" s="6" t="s">
        <v>119</v>
      </c>
      <c r="F67" s="6" t="s">
        <v>119</v>
      </c>
      <c r="G67" s="6" t="s">
        <v>119</v>
      </c>
      <c r="H67" s="6" t="s">
        <v>119</v>
      </c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x14ac:dyDescent="0.2">
      <c r="A68" s="44" t="s">
        <v>120</v>
      </c>
      <c r="B68" s="2" t="s">
        <v>121</v>
      </c>
      <c r="C68" s="45">
        <f>SUM(C10:C67)</f>
        <v>58066.799999999952</v>
      </c>
      <c r="D68" s="45">
        <f t="shared" ref="D68:H68" si="2">SUM(D10:D67)</f>
        <v>58066.799999999952</v>
      </c>
      <c r="E68" s="45">
        <f t="shared" si="2"/>
        <v>-7518.3793333333379</v>
      </c>
      <c r="F68" s="45">
        <f t="shared" si="2"/>
        <v>0.37</v>
      </c>
      <c r="G68" s="45">
        <f t="shared" si="2"/>
        <v>-7518.0093333333371</v>
      </c>
      <c r="H68" s="45">
        <f t="shared" si="2"/>
        <v>65584.809333333294</v>
      </c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s="6" customFormat="1" x14ac:dyDescent="0.2">
      <c r="A70" s="3" t="s">
        <v>31</v>
      </c>
      <c r="B70" s="2" t="s">
        <v>32</v>
      </c>
      <c r="C70" s="11">
        <v>1095.5999999999999</v>
      </c>
      <c r="D70" s="11">
        <v>1095.5999999999999</v>
      </c>
      <c r="E70" s="12">
        <v>-141.59</v>
      </c>
      <c r="F70" s="12">
        <v>-0.01</v>
      </c>
      <c r="G70" s="11">
        <v>-141.6</v>
      </c>
      <c r="H70" s="11">
        <v>1237.2</v>
      </c>
      <c r="I70" s="28" t="str">
        <f>IF(B70=K18,"si","no")</f>
        <v>no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s="1" customFormat="1" ht="14.25" x14ac:dyDescent="0.2">
      <c r="A71" s="3" t="s">
        <v>121</v>
      </c>
      <c r="B71" s="2" t="s">
        <v>121</v>
      </c>
      <c r="C71" s="14"/>
      <c r="D71" s="14"/>
      <c r="E71" s="14"/>
      <c r="F71" s="14"/>
      <c r="G71" s="14"/>
      <c r="H71" s="14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x14ac:dyDescent="0.2"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x14ac:dyDescent="0.2"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x14ac:dyDescent="0.2"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x14ac:dyDescent="0.2"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x14ac:dyDescent="0.2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</sheetData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workbookViewId="0">
      <pane xSplit="2" ySplit="9" topLeftCell="C30" activePane="bottomRight" state="frozen"/>
      <selection pane="topRight" activeCell="C1" sqref="C1"/>
      <selection pane="bottomLeft" activeCell="A10" sqref="A10"/>
      <selection pane="bottomRight" activeCell="B39" sqref="B39"/>
    </sheetView>
  </sheetViews>
  <sheetFormatPr baseColWidth="10" defaultRowHeight="15" x14ac:dyDescent="0.25"/>
  <cols>
    <col min="1" max="1" width="11.42578125" style="18"/>
    <col min="2" max="2" width="26" style="18" customWidth="1"/>
    <col min="3" max="3" width="15.140625" style="18" customWidth="1"/>
    <col min="4" max="4" width="15.7109375" style="18" customWidth="1"/>
    <col min="5" max="6" width="10.28515625" style="18" customWidth="1"/>
    <col min="7" max="8" width="10.5703125" style="18" customWidth="1"/>
    <col min="9" max="9" width="10.5703125" style="142" customWidth="1"/>
    <col min="10" max="11" width="13.5703125" style="18" customWidth="1"/>
    <col min="12" max="12" width="14.42578125" customWidth="1"/>
    <col min="13" max="14" width="11.42578125" style="18"/>
    <col min="15" max="15" width="31.140625" style="18" bestFit="1" customWidth="1"/>
    <col min="16" max="18" width="11.42578125" style="18"/>
    <col min="19" max="16384" width="11.42578125" style="2"/>
  </cols>
  <sheetData>
    <row r="1" spans="1:18" ht="18" customHeight="1" x14ac:dyDescent="0.25">
      <c r="A1" s="38" t="s">
        <v>0</v>
      </c>
      <c r="B1" s="35" t="s">
        <v>121</v>
      </c>
      <c r="C1" s="39"/>
      <c r="D1"/>
      <c r="E1"/>
      <c r="F1"/>
      <c r="G1"/>
      <c r="H1"/>
      <c r="I1" s="141"/>
      <c r="J1"/>
      <c r="K1"/>
      <c r="L1" s="85" t="s">
        <v>48</v>
      </c>
      <c r="M1" s="18">
        <v>62.13</v>
      </c>
      <c r="N1" s="18" t="s">
        <v>314</v>
      </c>
    </row>
    <row r="2" spans="1:18" ht="24.95" customHeight="1" x14ac:dyDescent="0.25">
      <c r="A2" s="40" t="s">
        <v>1</v>
      </c>
      <c r="B2" s="82" t="s">
        <v>2</v>
      </c>
      <c r="C2" s="42"/>
      <c r="D2"/>
      <c r="E2"/>
      <c r="F2"/>
      <c r="G2"/>
      <c r="H2"/>
      <c r="I2" s="141"/>
      <c r="J2"/>
      <c r="K2"/>
      <c r="O2" s="18">
        <f>417-500</f>
        <v>-83</v>
      </c>
    </row>
    <row r="3" spans="1:18" ht="15.75" x14ac:dyDescent="0.25">
      <c r="A3"/>
      <c r="B3" s="83" t="s">
        <v>3</v>
      </c>
      <c r="C3" s="36"/>
      <c r="D3"/>
      <c r="E3"/>
      <c r="F3"/>
      <c r="G3"/>
      <c r="H3"/>
      <c r="I3" s="141"/>
      <c r="J3"/>
      <c r="K3"/>
    </row>
    <row r="4" spans="1:18" x14ac:dyDescent="0.25">
      <c r="A4"/>
      <c r="B4" s="84" t="str">
        <f>+FACTURACIÓN!B4</f>
        <v>Periodo 4 al 4 Quincenal del 16/02/2016 al 29/02/2016</v>
      </c>
      <c r="C4" s="36"/>
      <c r="D4"/>
      <c r="E4"/>
      <c r="F4"/>
      <c r="G4"/>
      <c r="H4"/>
      <c r="I4" s="141"/>
      <c r="J4"/>
      <c r="K4"/>
    </row>
    <row r="5" spans="1:18" x14ac:dyDescent="0.25">
      <c r="A5"/>
      <c r="B5" s="5" t="s">
        <v>4</v>
      </c>
      <c r="C5"/>
      <c r="D5"/>
      <c r="E5"/>
      <c r="F5"/>
      <c r="G5"/>
      <c r="H5"/>
      <c r="I5" s="141"/>
      <c r="J5"/>
      <c r="K5"/>
    </row>
    <row r="6" spans="1:18" x14ac:dyDescent="0.25">
      <c r="A6"/>
      <c r="B6" s="5" t="s">
        <v>5</v>
      </c>
      <c r="C6"/>
      <c r="D6"/>
      <c r="E6"/>
      <c r="F6"/>
      <c r="G6"/>
      <c r="H6"/>
      <c r="I6" s="141"/>
      <c r="J6"/>
      <c r="K6"/>
    </row>
    <row r="7" spans="1:18" x14ac:dyDescent="0.25">
      <c r="B7" s="24"/>
    </row>
    <row r="8" spans="1:18" s="52" customFormat="1" ht="23.25" thickBot="1" x14ac:dyDescent="0.3">
      <c r="A8" s="51" t="s">
        <v>6</v>
      </c>
      <c r="B8" s="16" t="s">
        <v>7</v>
      </c>
      <c r="C8" s="16" t="s">
        <v>167</v>
      </c>
      <c r="D8" s="15" t="s">
        <v>9</v>
      </c>
      <c r="E8" s="25" t="s">
        <v>193</v>
      </c>
      <c r="F8" s="25" t="s">
        <v>148</v>
      </c>
      <c r="G8" s="25" t="s">
        <v>153</v>
      </c>
      <c r="H8" s="25" t="s">
        <v>307</v>
      </c>
      <c r="I8" s="140" t="s">
        <v>308</v>
      </c>
      <c r="J8" s="15" t="s">
        <v>312</v>
      </c>
      <c r="K8" s="15" t="s">
        <v>12</v>
      </c>
      <c r="L8" s="15" t="s">
        <v>12</v>
      </c>
      <c r="M8" s="34"/>
      <c r="N8" s="34"/>
      <c r="O8" s="34"/>
      <c r="P8" s="34"/>
      <c r="Q8" s="34"/>
      <c r="R8" s="34"/>
    </row>
    <row r="9" spans="1:18" ht="15.75" thickTop="1" x14ac:dyDescent="0.25">
      <c r="A9"/>
      <c r="B9"/>
      <c r="C9"/>
      <c r="D9"/>
      <c r="E9"/>
      <c r="F9"/>
      <c r="G9"/>
      <c r="H9"/>
      <c r="I9" s="141"/>
      <c r="J9"/>
      <c r="K9"/>
    </row>
    <row r="10" spans="1:18" ht="11.25" x14ac:dyDescent="0.2">
      <c r="A10" s="3" t="s">
        <v>15</v>
      </c>
      <c r="B10" s="2" t="s">
        <v>16</v>
      </c>
      <c r="C10" s="11">
        <f>+FACTURACIÓN!C9+FACTURACIÓN!D9+FACTURACIÓN!E9-'C&amp;A'!H10+FACTURACIÓN!F9+FACTURACIÓN!G9</f>
        <v>526.23299727735503</v>
      </c>
      <c r="D10" s="11">
        <f>SUM(C10)</f>
        <v>526.23299727735503</v>
      </c>
      <c r="E10" s="12">
        <f>+FACTURACIÓN!H9</f>
        <v>0</v>
      </c>
      <c r="F10" s="12">
        <f>+FACTURACIÓN!L9</f>
        <v>0</v>
      </c>
      <c r="G10" s="11">
        <f>+FACTURACIÓN!BM9</f>
        <v>0</v>
      </c>
      <c r="H10" s="87">
        <f>+FACTURACIÓN!J9</f>
        <v>0</v>
      </c>
      <c r="I10" s="143"/>
      <c r="J10" s="87">
        <f>+FACTURACIÓN!I9</f>
        <v>0</v>
      </c>
      <c r="K10" s="11">
        <f>SUM(E10:J10)</f>
        <v>0</v>
      </c>
      <c r="L10" s="54">
        <f>+D10-K10</f>
        <v>526.23299727735503</v>
      </c>
      <c r="M10" s="28"/>
      <c r="N10" s="63" t="s">
        <v>15</v>
      </c>
      <c r="O10" s="61" t="s">
        <v>16</v>
      </c>
      <c r="P10" s="28"/>
      <c r="Q10" s="28"/>
      <c r="R10" s="28"/>
    </row>
    <row r="11" spans="1:18" ht="11.25" x14ac:dyDescent="0.2">
      <c r="A11" s="3" t="s">
        <v>17</v>
      </c>
      <c r="B11" s="2" t="s">
        <v>18</v>
      </c>
      <c r="C11" s="87">
        <f>+FACTURACIÓN!C10+FACTURACIÓN!D10+FACTURACIÓN!E10-'C&amp;A'!H11+FACTURACIÓN!F10+FACTURACIÓN!G10</f>
        <v>4040.3</v>
      </c>
      <c r="D11" s="11">
        <f t="shared" ref="D11:D63" si="0">SUM(C11)</f>
        <v>4040.3</v>
      </c>
      <c r="E11" s="12">
        <f>+FACTURACIÓN!H10</f>
        <v>0</v>
      </c>
      <c r="F11" s="12">
        <f>+FACTURACIÓN!L10</f>
        <v>0</v>
      </c>
      <c r="G11" s="87">
        <f>+FACTURACIÓN!BM10</f>
        <v>527.75</v>
      </c>
      <c r="H11" s="87">
        <f>+FACTURACIÓN!J10</f>
        <v>0</v>
      </c>
      <c r="I11" s="143"/>
      <c r="J11" s="87">
        <f>+FACTURACIÓN!I10</f>
        <v>0</v>
      </c>
      <c r="K11" s="87">
        <f t="shared" ref="K11:K63" si="1">SUM(E11:J11)</f>
        <v>527.75</v>
      </c>
      <c r="L11" s="54">
        <f t="shared" ref="L11:L41" si="2">+D11-K11</f>
        <v>3512.55</v>
      </c>
      <c r="M11" s="28"/>
      <c r="N11" s="63" t="s">
        <v>17</v>
      </c>
      <c r="O11" s="61" t="s">
        <v>18</v>
      </c>
      <c r="P11" s="28"/>
      <c r="Q11" s="28"/>
      <c r="R11" s="28"/>
    </row>
    <row r="12" spans="1:18" ht="11.25" x14ac:dyDescent="0.2">
      <c r="A12" s="3" t="s">
        <v>19</v>
      </c>
      <c r="B12" s="2" t="s">
        <v>20</v>
      </c>
      <c r="C12" s="87">
        <f>+FACTURACIÓN!C11+FACTURACIÓN!D11+FACTURACIÓN!E11-'C&amp;A'!H12+FACTURACIÓN!F11+FACTURACIÓN!G11</f>
        <v>796.86633061068778</v>
      </c>
      <c r="D12" s="11">
        <f t="shared" si="0"/>
        <v>796.86633061068778</v>
      </c>
      <c r="E12" s="12">
        <f>+FACTURACIÓN!H11</f>
        <v>0</v>
      </c>
      <c r="F12" s="12">
        <f>+FACTURACIÓN!L11</f>
        <v>0</v>
      </c>
      <c r="G12" s="87">
        <f>+FACTURACIÓN!BM11</f>
        <v>0</v>
      </c>
      <c r="H12" s="87">
        <f>+FACTURACIÓN!J11</f>
        <v>0</v>
      </c>
      <c r="I12" s="143"/>
      <c r="J12" s="87">
        <f>+FACTURACIÓN!I11</f>
        <v>0</v>
      </c>
      <c r="K12" s="87">
        <f t="shared" si="1"/>
        <v>0</v>
      </c>
      <c r="L12" s="54">
        <f t="shared" si="2"/>
        <v>796.86633061068778</v>
      </c>
      <c r="M12" s="28"/>
      <c r="N12" s="63" t="s">
        <v>19</v>
      </c>
      <c r="O12" s="61" t="s">
        <v>20</v>
      </c>
      <c r="P12" s="28"/>
      <c r="Q12" s="28"/>
      <c r="R12" s="28"/>
    </row>
    <row r="13" spans="1:18" ht="11.25" x14ac:dyDescent="0.2">
      <c r="A13" s="3" t="s">
        <v>21</v>
      </c>
      <c r="B13" s="2" t="s">
        <v>22</v>
      </c>
      <c r="C13" s="87">
        <f>+FACTURACIÓN!C12+FACTURACIÓN!D12+FACTURACIÓN!E12-'C&amp;A'!H13+FACTURACIÓN!F12+FACTURACIÓN!G12</f>
        <v>2387.9205678096514</v>
      </c>
      <c r="D13" s="11">
        <f t="shared" si="0"/>
        <v>2387.9205678096514</v>
      </c>
      <c r="E13" s="12">
        <f>+FACTURACIÓN!H12</f>
        <v>0</v>
      </c>
      <c r="F13" s="12">
        <f>+FACTURACIÓN!L12</f>
        <v>2181.2800000000002</v>
      </c>
      <c r="G13" s="87">
        <f>+FACTURACIÓN!BM12</f>
        <v>0</v>
      </c>
      <c r="H13" s="87">
        <f>+FACTURACIÓN!J12</f>
        <v>0</v>
      </c>
      <c r="I13" s="143"/>
      <c r="J13" s="87">
        <f>+FACTURACIÓN!I12</f>
        <v>0</v>
      </c>
      <c r="K13" s="87">
        <f t="shared" si="1"/>
        <v>2181.2800000000002</v>
      </c>
      <c r="L13" s="54">
        <f t="shared" si="2"/>
        <v>206.6405678096512</v>
      </c>
      <c r="M13" s="28"/>
      <c r="N13" s="63" t="s">
        <v>21</v>
      </c>
      <c r="O13" s="61" t="s">
        <v>22</v>
      </c>
      <c r="P13" s="28"/>
      <c r="Q13" s="28"/>
      <c r="R13" s="28"/>
    </row>
    <row r="14" spans="1:18" ht="11.25" x14ac:dyDescent="0.2">
      <c r="A14" s="3" t="s">
        <v>23</v>
      </c>
      <c r="B14" s="2" t="s">
        <v>24</v>
      </c>
      <c r="C14" s="87">
        <f>+FACTURACIÓN!C13+FACTURACIÓN!D13+FACTURACIÓN!E13-'C&amp;A'!H14+FACTURACIÓN!F13+FACTURACIÓN!G13</f>
        <v>1187.5787308132424</v>
      </c>
      <c r="D14" s="11">
        <f t="shared" si="0"/>
        <v>1187.5787308132424</v>
      </c>
      <c r="E14" s="12">
        <f>+FACTURACIÓN!H13</f>
        <v>0</v>
      </c>
      <c r="F14" s="12">
        <f>+FACTURACIÓN!L13</f>
        <v>902.31</v>
      </c>
      <c r="G14" s="87">
        <f>+FACTURACIÓN!BM13</f>
        <v>0</v>
      </c>
      <c r="H14" s="87">
        <f>+FACTURACIÓN!J13</f>
        <v>0</v>
      </c>
      <c r="I14" s="143"/>
      <c r="J14" s="87">
        <f>+FACTURACIÓN!I13</f>
        <v>0</v>
      </c>
      <c r="K14" s="87">
        <f t="shared" si="1"/>
        <v>902.31</v>
      </c>
      <c r="L14" s="54">
        <f t="shared" si="2"/>
        <v>285.26873081324243</v>
      </c>
      <c r="M14" s="28"/>
      <c r="N14" s="63" t="s">
        <v>23</v>
      </c>
      <c r="O14" s="61" t="s">
        <v>24</v>
      </c>
      <c r="P14" s="28"/>
      <c r="Q14" s="28"/>
      <c r="R14" s="28"/>
    </row>
    <row r="15" spans="1:18" ht="11.25" x14ac:dyDescent="0.2">
      <c r="A15" s="86" t="s">
        <v>174</v>
      </c>
      <c r="B15" s="85" t="s">
        <v>26</v>
      </c>
      <c r="C15" s="87">
        <f>+FACTURACIÓN!C14+FACTURACIÓN!D14+FACTURACIÓN!E14-'C&amp;A'!H15+FACTURACIÓN!F14+FACTURACIÓN!G14</f>
        <v>1423.1763632955847</v>
      </c>
      <c r="D15" s="11">
        <f t="shared" si="0"/>
        <v>1423.1763632955847</v>
      </c>
      <c r="E15" s="12">
        <f>+FACTURACIÓN!H14</f>
        <v>0</v>
      </c>
      <c r="F15" s="12">
        <f>+FACTURACIÓN!L14</f>
        <v>0</v>
      </c>
      <c r="G15" s="87">
        <f>+FACTURACIÓN!BM14</f>
        <v>0</v>
      </c>
      <c r="H15" s="87">
        <f>+FACTURACIÓN!J14</f>
        <v>0</v>
      </c>
      <c r="I15" s="143"/>
      <c r="J15" s="87">
        <f>+FACTURACIÓN!I14</f>
        <v>0</v>
      </c>
      <c r="K15" s="87">
        <f t="shared" si="1"/>
        <v>0</v>
      </c>
      <c r="L15" s="54">
        <f t="shared" si="2"/>
        <v>1423.1763632955847</v>
      </c>
      <c r="M15" s="28"/>
      <c r="N15" s="63" t="s">
        <v>25</v>
      </c>
      <c r="O15" s="61" t="s">
        <v>26</v>
      </c>
      <c r="P15" s="28"/>
      <c r="Q15" s="28"/>
      <c r="R15" s="28"/>
    </row>
    <row r="16" spans="1:18" ht="11.25" x14ac:dyDescent="0.2">
      <c r="A16" s="3" t="s">
        <v>27</v>
      </c>
      <c r="B16" s="2" t="s">
        <v>28</v>
      </c>
      <c r="C16" s="87">
        <f>+FACTURACIÓN!C15+FACTURACIÓN!D15+FACTURACIÓN!E15-'C&amp;A'!H16+FACTURACIÓN!F15+FACTURACIÓN!G15</f>
        <v>1423.1763632955847</v>
      </c>
      <c r="D16" s="11">
        <f t="shared" si="0"/>
        <v>1423.1763632955847</v>
      </c>
      <c r="E16" s="12">
        <f>+FACTURACIÓN!H15</f>
        <v>0</v>
      </c>
      <c r="F16" s="12">
        <f>+FACTURACIÓN!L15</f>
        <v>0</v>
      </c>
      <c r="G16" s="87">
        <f>+FACTURACIÓN!BM15</f>
        <v>0</v>
      </c>
      <c r="H16" s="87">
        <f>+FACTURACIÓN!J15</f>
        <v>0</v>
      </c>
      <c r="I16" s="143"/>
      <c r="J16" s="87">
        <f>+FACTURACIÓN!I15</f>
        <v>0</v>
      </c>
      <c r="K16" s="87">
        <f t="shared" si="1"/>
        <v>0</v>
      </c>
      <c r="L16" s="54">
        <f t="shared" si="2"/>
        <v>1423.1763632955847</v>
      </c>
      <c r="M16" s="28"/>
      <c r="N16" s="63" t="s">
        <v>27</v>
      </c>
      <c r="O16" s="61" t="s">
        <v>28</v>
      </c>
      <c r="P16" s="28"/>
      <c r="Q16" s="28"/>
      <c r="R16" s="28"/>
    </row>
    <row r="17" spans="1:18" ht="11.25" x14ac:dyDescent="0.2">
      <c r="A17" s="3" t="s">
        <v>29</v>
      </c>
      <c r="B17" s="2" t="s">
        <v>30</v>
      </c>
      <c r="C17" s="87">
        <f>+FACTURACIÓN!C16+FACTURACIÓN!D16+FACTURACIÓN!E16-'C&amp;A'!H17+FACTURACIÓN!F16+FACTURACIÓN!G16</f>
        <v>5345.3993333333328</v>
      </c>
      <c r="D17" s="11">
        <f t="shared" si="0"/>
        <v>5345.3993333333328</v>
      </c>
      <c r="E17" s="12">
        <f>+FACTURACIÓN!H16</f>
        <v>0</v>
      </c>
      <c r="F17" s="12">
        <f>+FACTURACIÓN!L16</f>
        <v>0</v>
      </c>
      <c r="G17" s="87">
        <f>+FACTURACIÓN!BM16</f>
        <v>650</v>
      </c>
      <c r="H17" s="87">
        <f>+FACTURACIÓN!J16</f>
        <v>0</v>
      </c>
      <c r="I17" s="143"/>
      <c r="J17" s="87">
        <f>+FACTURACIÓN!I16</f>
        <v>0</v>
      </c>
      <c r="K17" s="87">
        <f t="shared" si="1"/>
        <v>650</v>
      </c>
      <c r="L17" s="54">
        <f t="shared" si="2"/>
        <v>4695.3993333333328</v>
      </c>
      <c r="M17" s="28"/>
      <c r="N17" s="63" t="s">
        <v>29</v>
      </c>
      <c r="O17" s="61" t="s">
        <v>30</v>
      </c>
      <c r="P17" s="28"/>
      <c r="Q17" s="28"/>
      <c r="R17" s="28"/>
    </row>
    <row r="18" spans="1:18" ht="11.25" x14ac:dyDescent="0.2">
      <c r="A18" s="3" t="s">
        <v>33</v>
      </c>
      <c r="B18" s="2" t="s">
        <v>34</v>
      </c>
      <c r="C18" s="87">
        <f>+FACTURACIÓN!C17+FACTURACIÓN!D17+FACTURACIÓN!E17-'C&amp;A'!H18+FACTURACIÓN!F17+FACTURACIÓN!G17</f>
        <v>363.73299727735457</v>
      </c>
      <c r="D18" s="11">
        <f t="shared" si="0"/>
        <v>363.73299727735457</v>
      </c>
      <c r="E18" s="12">
        <f>+FACTURACIÓN!H17</f>
        <v>0</v>
      </c>
      <c r="F18" s="12">
        <f>+FACTURACIÓN!L17</f>
        <v>0</v>
      </c>
      <c r="G18" s="87">
        <f>+FACTURACIÓN!BM17</f>
        <v>0</v>
      </c>
      <c r="H18" s="87">
        <f>+FACTURACIÓN!J17</f>
        <v>0</v>
      </c>
      <c r="I18" s="143"/>
      <c r="J18" s="87">
        <f>+FACTURACIÓN!I17</f>
        <v>0</v>
      </c>
      <c r="K18" s="87">
        <f t="shared" si="1"/>
        <v>0</v>
      </c>
      <c r="L18" s="54">
        <f t="shared" si="2"/>
        <v>363.73299727735457</v>
      </c>
      <c r="M18" s="28"/>
      <c r="N18" s="63" t="s">
        <v>33</v>
      </c>
      <c r="O18" s="61" t="s">
        <v>34</v>
      </c>
      <c r="P18" s="28"/>
      <c r="Q18" s="28"/>
      <c r="R18" s="28"/>
    </row>
    <row r="19" spans="1:18" ht="11.25" x14ac:dyDescent="0.2">
      <c r="A19" s="3" t="s">
        <v>35</v>
      </c>
      <c r="B19" s="2" t="s">
        <v>36</v>
      </c>
      <c r="C19" s="87">
        <f>+FACTURACIÓN!C18+FACTURACIÓN!D18+FACTURACIÓN!E18-'C&amp;A'!H19+FACTURACIÓN!F18+FACTURACIÓN!G18</f>
        <v>363.53299727735453</v>
      </c>
      <c r="D19" s="11">
        <f t="shared" si="0"/>
        <v>363.53299727735453</v>
      </c>
      <c r="E19" s="12">
        <f>+FACTURACIÓN!H18</f>
        <v>0</v>
      </c>
      <c r="F19" s="12">
        <f>+FACTURACIÓN!L18</f>
        <v>0</v>
      </c>
      <c r="G19" s="87">
        <f>+FACTURACIÓN!BM18</f>
        <v>0</v>
      </c>
      <c r="H19" s="87">
        <f>+FACTURACIÓN!J18</f>
        <v>0</v>
      </c>
      <c r="I19" s="143"/>
      <c r="J19" s="87">
        <f>+FACTURACIÓN!I18</f>
        <v>0</v>
      </c>
      <c r="K19" s="87">
        <f t="shared" si="1"/>
        <v>0</v>
      </c>
      <c r="L19" s="54">
        <f t="shared" si="2"/>
        <v>363.53299727735453</v>
      </c>
      <c r="M19" s="28"/>
      <c r="N19" s="63" t="s">
        <v>35</v>
      </c>
      <c r="O19" s="61" t="s">
        <v>36</v>
      </c>
      <c r="P19" s="28"/>
      <c r="Q19" s="28"/>
      <c r="R19" s="28"/>
    </row>
    <row r="20" spans="1:18" ht="11.25" x14ac:dyDescent="0.2">
      <c r="A20" s="3" t="s">
        <v>37</v>
      </c>
      <c r="B20" s="2" t="s">
        <v>38</v>
      </c>
      <c r="C20" s="87">
        <f>+FACTURACIÓN!C19+FACTURACIÓN!D19+FACTURACIÓN!E19-'C&amp;A'!H20+FACTURACIÓN!F19+FACTURACIÓN!G19</f>
        <v>3084.6390299622512</v>
      </c>
      <c r="D20" s="11">
        <f t="shared" si="0"/>
        <v>3084.6390299622512</v>
      </c>
      <c r="E20" s="12">
        <f>+FACTURACIÓN!H19</f>
        <v>0</v>
      </c>
      <c r="F20" s="12">
        <f>+FACTURACIÓN!L19</f>
        <v>1551.8</v>
      </c>
      <c r="G20" s="87">
        <f>+FACTURACIÓN!BM19</f>
        <v>0</v>
      </c>
      <c r="H20" s="87">
        <f>+FACTURACIÓN!J19</f>
        <v>0</v>
      </c>
      <c r="I20" s="143"/>
      <c r="J20" s="87">
        <f>+FACTURACIÓN!I19</f>
        <v>0</v>
      </c>
      <c r="K20" s="87">
        <f t="shared" si="1"/>
        <v>1551.8</v>
      </c>
      <c r="L20" s="54">
        <f t="shared" si="2"/>
        <v>1532.8390299622513</v>
      </c>
      <c r="M20" s="28"/>
      <c r="N20" s="63" t="s">
        <v>37</v>
      </c>
      <c r="O20" s="61" t="s">
        <v>38</v>
      </c>
      <c r="P20" s="28"/>
      <c r="Q20" s="28"/>
      <c r="R20" s="28"/>
    </row>
    <row r="21" spans="1:18" ht="11.25" x14ac:dyDescent="0.2">
      <c r="A21" s="3" t="s">
        <v>39</v>
      </c>
      <c r="B21" s="2" t="s">
        <v>40</v>
      </c>
      <c r="C21" s="87">
        <f>+FACTURACIÓN!C20+FACTURACIÓN!D20+FACTURACIÓN!E20-'C&amp;A'!H21+FACTURACIÓN!F20+FACTURACIÓN!G20</f>
        <v>1658.1738971313578</v>
      </c>
      <c r="D21" s="11">
        <f t="shared" si="0"/>
        <v>1658.1738971313578</v>
      </c>
      <c r="E21" s="12">
        <f>+FACTURACIÓN!H20</f>
        <v>0</v>
      </c>
      <c r="F21" s="12">
        <f>+FACTURACIÓN!L20</f>
        <v>0</v>
      </c>
      <c r="G21" s="87">
        <f>+FACTURACIÓN!BM20</f>
        <v>0</v>
      </c>
      <c r="H21" s="87">
        <f>+FACTURACIÓN!J20</f>
        <v>183.33333333333334</v>
      </c>
      <c r="I21" s="143"/>
      <c r="J21" s="87">
        <f>+FACTURACIÓN!I20</f>
        <v>0</v>
      </c>
      <c r="K21" s="87">
        <f t="shared" si="1"/>
        <v>183.33333333333334</v>
      </c>
      <c r="L21" s="54">
        <f t="shared" si="2"/>
        <v>1474.8405637980245</v>
      </c>
      <c r="M21" s="28"/>
      <c r="N21" s="63" t="s">
        <v>39</v>
      </c>
      <c r="O21" s="61" t="s">
        <v>40</v>
      </c>
      <c r="P21" s="28"/>
      <c r="Q21" s="28"/>
      <c r="R21" s="28"/>
    </row>
    <row r="22" spans="1:18" ht="11.25" x14ac:dyDescent="0.2">
      <c r="A22" s="3" t="s">
        <v>41</v>
      </c>
      <c r="B22" s="2" t="s">
        <v>42</v>
      </c>
      <c r="C22" s="87">
        <f>+FACTURACIÓN!C21+FACTURACIÓN!D21+FACTURACIÓN!E21-'C&amp;A'!H22+FACTURACIÓN!F21+FACTURACIÓN!G21</f>
        <v>1423.1763632955847</v>
      </c>
      <c r="D22" s="11">
        <f t="shared" si="0"/>
        <v>1423.1763632955847</v>
      </c>
      <c r="E22" s="12">
        <v>0</v>
      </c>
      <c r="F22" s="12">
        <f>+FACTURACIÓN!L21</f>
        <v>0</v>
      </c>
      <c r="G22" s="87">
        <f>+FACTURACIÓN!BM21</f>
        <v>0</v>
      </c>
      <c r="H22" s="87">
        <f>+FACTURACIÓN!J21</f>
        <v>0</v>
      </c>
      <c r="I22" s="143"/>
      <c r="J22" s="87">
        <v>177.91</v>
      </c>
      <c r="K22" s="87">
        <f t="shared" si="1"/>
        <v>177.91</v>
      </c>
      <c r="L22" s="54">
        <f t="shared" si="2"/>
        <v>1245.2663632955846</v>
      </c>
      <c r="M22" s="28"/>
      <c r="N22" s="63" t="s">
        <v>41</v>
      </c>
      <c r="O22" s="61" t="s">
        <v>42</v>
      </c>
      <c r="P22" s="28"/>
      <c r="Q22" s="28"/>
      <c r="R22" s="28"/>
    </row>
    <row r="23" spans="1:18" ht="11.25" x14ac:dyDescent="0.2">
      <c r="A23" s="3" t="s">
        <v>43</v>
      </c>
      <c r="B23" s="2" t="s">
        <v>44</v>
      </c>
      <c r="C23" s="87">
        <f>+FACTURACIÓN!C22+FACTURACIÓN!D22+FACTURACIÓN!E22-'C&amp;A'!H23+FACTURACIÓN!F22+FACTURACIÓN!G22</f>
        <v>6262.8</v>
      </c>
      <c r="D23" s="11">
        <f t="shared" si="0"/>
        <v>6262.8</v>
      </c>
      <c r="E23" s="12">
        <f>+FACTURACIÓN!H22</f>
        <v>0</v>
      </c>
      <c r="F23" s="12">
        <f>+FACTURACIÓN!L22</f>
        <v>0</v>
      </c>
      <c r="G23" s="87">
        <f>+FACTURACIÓN!BM22</f>
        <v>750</v>
      </c>
      <c r="H23" s="87">
        <f>+FACTURACIÓN!J22</f>
        <v>0</v>
      </c>
      <c r="I23" s="143"/>
      <c r="J23" s="87">
        <f>+FACTURACIÓN!I22</f>
        <v>0</v>
      </c>
      <c r="K23" s="87">
        <f t="shared" si="1"/>
        <v>750</v>
      </c>
      <c r="L23" s="54">
        <f t="shared" si="2"/>
        <v>5512.8</v>
      </c>
      <c r="M23" s="28"/>
      <c r="N23" s="63" t="s">
        <v>43</v>
      </c>
      <c r="O23" s="61" t="s">
        <v>44</v>
      </c>
      <c r="P23" s="28"/>
      <c r="Q23" s="28"/>
      <c r="R23" s="28"/>
    </row>
    <row r="24" spans="1:18" ht="11.25" x14ac:dyDescent="0.2">
      <c r="A24" s="3" t="s">
        <v>45</v>
      </c>
      <c r="B24" s="2" t="s">
        <v>46</v>
      </c>
      <c r="C24" s="87">
        <f>+FACTURACIÓN!C23+FACTURACIÓN!D23+FACTURACIÓN!E23-'C&amp;A'!H24+FACTURACIÓN!F23+FACTURACIÓN!G23</f>
        <v>2415.6499999999996</v>
      </c>
      <c r="D24" s="11">
        <f t="shared" si="0"/>
        <v>2415.6499999999996</v>
      </c>
      <c r="E24" s="12">
        <f>+FACTURACIÓN!H23</f>
        <v>0</v>
      </c>
      <c r="F24" s="12">
        <f>+FACTURACIÓN!L23</f>
        <v>0</v>
      </c>
      <c r="G24" s="87">
        <f>+FACTURACIÓN!BM23</f>
        <v>0</v>
      </c>
      <c r="H24" s="87">
        <f>+FACTURACIÓN!J23</f>
        <v>0</v>
      </c>
      <c r="I24" s="143">
        <v>15</v>
      </c>
      <c r="J24" s="87">
        <f>+FACTURACIÓN!I23</f>
        <v>0</v>
      </c>
      <c r="K24" s="87">
        <f t="shared" si="1"/>
        <v>15</v>
      </c>
      <c r="L24" s="54">
        <f t="shared" si="2"/>
        <v>2400.6499999999996</v>
      </c>
      <c r="M24" s="28"/>
      <c r="N24" s="63" t="s">
        <v>45</v>
      </c>
      <c r="O24" s="61" t="s">
        <v>46</v>
      </c>
      <c r="P24" s="28"/>
      <c r="Q24" s="28"/>
      <c r="R24" s="28"/>
    </row>
    <row r="25" spans="1:18" ht="11.25" x14ac:dyDescent="0.2">
      <c r="A25" s="3" t="s">
        <v>163</v>
      </c>
      <c r="B25" s="85" t="s">
        <v>158</v>
      </c>
      <c r="C25" s="87">
        <f>+FACTURACIÓN!C24+FACTURACIÓN!D24+FACTURACIÓN!E24-'C&amp;A'!H25+FACTURACIÓN!F24+FACTURACIÓN!G24</f>
        <v>1423.1763632955847</v>
      </c>
      <c r="D25" s="11">
        <f t="shared" si="0"/>
        <v>1423.1763632955847</v>
      </c>
      <c r="E25" s="12">
        <f>+FACTURACIÓN!H24</f>
        <v>0</v>
      </c>
      <c r="F25" s="12">
        <f>+FACTURACIÓN!L24</f>
        <v>0</v>
      </c>
      <c r="G25" s="87">
        <f>+FACTURACIÓN!BM24</f>
        <v>0</v>
      </c>
      <c r="H25" s="87">
        <f>+FACTURACIÓN!J24</f>
        <v>0</v>
      </c>
      <c r="I25" s="143">
        <v>17.48</v>
      </c>
      <c r="J25" s="87">
        <f>+FACTURACIÓN!I24</f>
        <v>0</v>
      </c>
      <c r="K25" s="87">
        <f t="shared" si="1"/>
        <v>17.48</v>
      </c>
      <c r="L25" s="54">
        <f t="shared" si="2"/>
        <v>1405.6963632955847</v>
      </c>
      <c r="M25" s="28"/>
      <c r="N25" s="66" t="s">
        <v>163</v>
      </c>
      <c r="O25" s="61" t="s">
        <v>158</v>
      </c>
      <c r="P25" s="28"/>
      <c r="Q25" s="28"/>
      <c r="R25" s="28"/>
    </row>
    <row r="26" spans="1:18" ht="11.25" x14ac:dyDescent="0.2">
      <c r="A26" s="3" t="s">
        <v>47</v>
      </c>
      <c r="B26" s="2" t="s">
        <v>48</v>
      </c>
      <c r="C26" s="87">
        <f>+FACTURACIÓN!C25+FACTURACIÓN!D25+FACTURACIÓN!E25-'C&amp;A'!H26+FACTURACIÓN!F25+FACTURACIÓN!G25</f>
        <v>0</v>
      </c>
      <c r="D26" s="11">
        <f t="shared" si="0"/>
        <v>0</v>
      </c>
      <c r="E26" s="12">
        <f>+FACTURACIÓN!H25</f>
        <v>0</v>
      </c>
      <c r="F26" s="12">
        <f>+FACTURACIÓN!L25</f>
        <v>0</v>
      </c>
      <c r="G26" s="87">
        <f>+FACTURACIÓN!BM25</f>
        <v>0</v>
      </c>
      <c r="H26" s="87">
        <f>+FACTURACIÓN!J25</f>
        <v>0</v>
      </c>
      <c r="I26" s="143">
        <v>0</v>
      </c>
      <c r="J26" s="87">
        <f>+FACTURACIÓN!I25</f>
        <v>0</v>
      </c>
      <c r="K26" s="87">
        <f t="shared" si="1"/>
        <v>0</v>
      </c>
      <c r="L26" s="54">
        <f t="shared" si="2"/>
        <v>0</v>
      </c>
      <c r="M26" s="28"/>
      <c r="N26" s="63" t="s">
        <v>47</v>
      </c>
      <c r="O26" s="61" t="s">
        <v>48</v>
      </c>
      <c r="P26" s="28"/>
      <c r="Q26" s="28"/>
      <c r="R26" s="28"/>
    </row>
    <row r="27" spans="1:18" ht="11.25" x14ac:dyDescent="0.2">
      <c r="A27" s="3" t="s">
        <v>49</v>
      </c>
      <c r="B27" s="2" t="s">
        <v>50</v>
      </c>
      <c r="C27" s="87">
        <f>+FACTURACIÓN!C26+FACTURACIÓN!D26+FACTURACIÓN!E26-'C&amp;A'!H27+FACTURACIÓN!F26+FACTURACIÓN!G26</f>
        <v>21262.799999999999</v>
      </c>
      <c r="D27" s="11">
        <f t="shared" si="0"/>
        <v>21262.799999999999</v>
      </c>
      <c r="E27" s="12">
        <f>+FACTURACIÓN!H26</f>
        <v>479.28</v>
      </c>
      <c r="F27" s="12">
        <f>+FACTURACIÓN!L26</f>
        <v>323.91000000000003</v>
      </c>
      <c r="G27" s="87">
        <f>+FACTURACIÓN!BM26</f>
        <v>2202.0720000000001</v>
      </c>
      <c r="H27" s="87">
        <f>+FACTURACIÓN!J26</f>
        <v>0</v>
      </c>
      <c r="I27" s="143">
        <v>2383.42</v>
      </c>
      <c r="J27" s="87">
        <f>+FACTURACIÓN!I26</f>
        <v>0</v>
      </c>
      <c r="K27" s="87">
        <f t="shared" si="1"/>
        <v>5388.6820000000007</v>
      </c>
      <c r="L27" s="54">
        <f t="shared" si="2"/>
        <v>15874.117999999999</v>
      </c>
      <c r="M27" s="28"/>
      <c r="N27" s="63" t="s">
        <v>49</v>
      </c>
      <c r="O27" s="61" t="s">
        <v>50</v>
      </c>
      <c r="P27" s="28"/>
      <c r="Q27" s="28"/>
      <c r="R27" s="28"/>
    </row>
    <row r="28" spans="1:18" ht="11.25" x14ac:dyDescent="0.2">
      <c r="A28" s="3" t="s">
        <v>51</v>
      </c>
      <c r="B28" s="85" t="s">
        <v>52</v>
      </c>
      <c r="C28" s="87">
        <f>+FACTURACIÓN!C27+FACTURACIÓN!D27+FACTURACIÓN!E27-'C&amp;A'!H28+FACTURACIÓN!F27+FACTURACIÓN!G27</f>
        <v>1423.1763632955847</v>
      </c>
      <c r="D28" s="11">
        <f t="shared" si="0"/>
        <v>1423.1763632955847</v>
      </c>
      <c r="E28" s="12">
        <f>+FACTURACIÓN!H27</f>
        <v>0</v>
      </c>
      <c r="F28" s="12">
        <f>+FACTURACIÓN!L27</f>
        <v>0</v>
      </c>
      <c r="G28" s="87">
        <f>+FACTURACIÓN!BM27</f>
        <v>0</v>
      </c>
      <c r="H28" s="87">
        <f>+FACTURACIÓN!J27</f>
        <v>0</v>
      </c>
      <c r="I28" s="143"/>
      <c r="J28" s="87">
        <f>+FACTURACIÓN!I27</f>
        <v>0</v>
      </c>
      <c r="K28" s="87">
        <f t="shared" si="1"/>
        <v>0</v>
      </c>
      <c r="L28" s="54">
        <f t="shared" si="2"/>
        <v>1423.1763632955847</v>
      </c>
      <c r="M28" s="28"/>
      <c r="N28" s="63" t="s">
        <v>51</v>
      </c>
      <c r="O28" s="61" t="s">
        <v>52</v>
      </c>
      <c r="P28" s="28"/>
      <c r="Q28" s="28"/>
      <c r="R28" s="28"/>
    </row>
    <row r="29" spans="1:18" ht="11.25" x14ac:dyDescent="0.2">
      <c r="A29" s="3" t="s">
        <v>53</v>
      </c>
      <c r="B29" s="2" t="s">
        <v>54</v>
      </c>
      <c r="C29" s="87">
        <f>+FACTURACIÓN!C28+FACTURACIÓN!D28+FACTURACIÓN!E28-'C&amp;A'!H29+FACTURACIÓN!F28+FACTURACIÓN!G28</f>
        <v>951.53102434597326</v>
      </c>
      <c r="D29" s="11">
        <f t="shared" si="0"/>
        <v>951.53102434597326</v>
      </c>
      <c r="E29" s="12">
        <f>+FACTURACIÓN!H28</f>
        <v>0</v>
      </c>
      <c r="F29" s="12">
        <f>+FACTURACIÓN!L28</f>
        <v>0</v>
      </c>
      <c r="G29" s="87">
        <f>+FACTURACIÓN!BM28</f>
        <v>0</v>
      </c>
      <c r="H29" s="87">
        <f>+FACTURACIÓN!J28</f>
        <v>0</v>
      </c>
      <c r="I29" s="143"/>
      <c r="J29" s="87">
        <f>+FACTURACIÓN!I28</f>
        <v>0</v>
      </c>
      <c r="K29" s="87">
        <f t="shared" si="1"/>
        <v>0</v>
      </c>
      <c r="L29" s="54">
        <f t="shared" si="2"/>
        <v>951.53102434597326</v>
      </c>
      <c r="M29" s="28"/>
      <c r="N29" s="63" t="s">
        <v>53</v>
      </c>
      <c r="O29" s="61" t="s">
        <v>54</v>
      </c>
      <c r="P29" s="28"/>
      <c r="Q29" s="28"/>
      <c r="R29" s="28"/>
    </row>
    <row r="30" spans="1:18" ht="11.25" x14ac:dyDescent="0.2">
      <c r="A30" s="3" t="s">
        <v>55</v>
      </c>
      <c r="B30" s="2" t="s">
        <v>56</v>
      </c>
      <c r="C30" s="87">
        <f>+FACTURACIÓN!C29+FACTURACIÓN!D29+FACTURACIÓN!E29-'C&amp;A'!H30+FACTURACIÓN!F29+FACTURACIÓN!G29</f>
        <v>2088.9205678096514</v>
      </c>
      <c r="D30" s="11">
        <f t="shared" si="0"/>
        <v>2088.9205678096514</v>
      </c>
      <c r="E30" s="12">
        <f>+FACTURACIÓN!H29</f>
        <v>0</v>
      </c>
      <c r="F30" s="12">
        <f>+FACTURACIÓN!L29</f>
        <v>0</v>
      </c>
      <c r="G30" s="87">
        <f>+FACTURACIÓN!BM29</f>
        <v>0</v>
      </c>
      <c r="H30" s="87">
        <f>+FACTURACIÓN!J29</f>
        <v>0</v>
      </c>
      <c r="I30" s="143">
        <v>55</v>
      </c>
      <c r="J30" s="87">
        <f>+FACTURACIÓN!I29</f>
        <v>0</v>
      </c>
      <c r="K30" s="87">
        <f t="shared" si="1"/>
        <v>55</v>
      </c>
      <c r="L30" s="54">
        <f t="shared" si="2"/>
        <v>2033.9205678096514</v>
      </c>
      <c r="M30" s="28"/>
      <c r="N30" s="63" t="s">
        <v>55</v>
      </c>
      <c r="O30" s="61" t="s">
        <v>56</v>
      </c>
      <c r="P30" s="28"/>
      <c r="Q30" s="28"/>
      <c r="R30" s="28"/>
    </row>
    <row r="31" spans="1:18" ht="11.25" x14ac:dyDescent="0.2">
      <c r="A31" s="3" t="s">
        <v>164</v>
      </c>
      <c r="B31" s="2" t="s">
        <v>165</v>
      </c>
      <c r="C31" s="87">
        <f>+FACTURACIÓN!C30+FACTURACIÓN!D30+FACTURACIÓN!E30-'C&amp;A'!H31+FACTURACIÓN!F30+FACTURACIÓN!G30</f>
        <v>951.53102434597326</v>
      </c>
      <c r="D31" s="11">
        <f t="shared" si="0"/>
        <v>951.53102434597326</v>
      </c>
      <c r="E31" s="12">
        <f>+FACTURACIÓN!H30</f>
        <v>0</v>
      </c>
      <c r="F31" s="12">
        <f>+FACTURACIÓN!L30</f>
        <v>0</v>
      </c>
      <c r="G31" s="87">
        <f>+FACTURACIÓN!BM30</f>
        <v>0</v>
      </c>
      <c r="H31" s="87">
        <f>+FACTURACIÓN!J30</f>
        <v>0</v>
      </c>
      <c r="I31" s="143"/>
      <c r="J31" s="87">
        <f>+FACTURACIÓN!I30</f>
        <v>0</v>
      </c>
      <c r="K31" s="87">
        <f t="shared" si="1"/>
        <v>0</v>
      </c>
      <c r="L31" s="54">
        <f t="shared" si="2"/>
        <v>951.53102434597326</v>
      </c>
      <c r="M31" s="28"/>
      <c r="N31" s="66" t="s">
        <v>164</v>
      </c>
      <c r="O31" s="61" t="s">
        <v>162</v>
      </c>
      <c r="P31" s="28"/>
      <c r="Q31" s="28"/>
      <c r="R31" s="28"/>
    </row>
    <row r="32" spans="1:18" ht="11.25" x14ac:dyDescent="0.2">
      <c r="A32" s="3" t="s">
        <v>57</v>
      </c>
      <c r="B32" s="2" t="s">
        <v>58</v>
      </c>
      <c r="C32" s="87">
        <f>+FACTURACIÓN!C31+FACTURACIÓN!D31+FACTURACIÓN!E31-'C&amp;A'!H32+FACTURACIÓN!F31+FACTURACIÓN!G31</f>
        <v>1187.5787308132424</v>
      </c>
      <c r="D32" s="11">
        <f t="shared" si="0"/>
        <v>1187.5787308132424</v>
      </c>
      <c r="E32" s="12">
        <f>+FACTURACIÓN!H31</f>
        <v>0</v>
      </c>
      <c r="F32" s="12">
        <f>+FACTURACIÓN!L31</f>
        <v>0</v>
      </c>
      <c r="G32" s="87">
        <f>+FACTURACIÓN!BM31</f>
        <v>0</v>
      </c>
      <c r="H32" s="87">
        <f>+FACTURACIÓN!J31</f>
        <v>0</v>
      </c>
      <c r="I32" s="143"/>
      <c r="J32" s="87">
        <f>+FACTURACIÓN!I31</f>
        <v>0</v>
      </c>
      <c r="K32" s="87">
        <f t="shared" si="1"/>
        <v>0</v>
      </c>
      <c r="L32" s="54">
        <f t="shared" si="2"/>
        <v>1187.5787308132424</v>
      </c>
      <c r="M32" s="28"/>
      <c r="N32" s="63" t="s">
        <v>57</v>
      </c>
      <c r="O32" s="61" t="s">
        <v>58</v>
      </c>
      <c r="P32" s="28"/>
      <c r="Q32" s="28"/>
      <c r="R32" s="28"/>
    </row>
    <row r="33" spans="1:18" ht="11.25" x14ac:dyDescent="0.2">
      <c r="A33" s="3" t="s">
        <v>59</v>
      </c>
      <c r="B33" s="2" t="s">
        <v>60</v>
      </c>
      <c r="C33" s="87">
        <f>+FACTURACIÓN!C32+FACTURACIÓN!D32+FACTURACIÓN!E32-'C&amp;A'!H33+FACTURACIÓN!F32+FACTURACIÓN!G32</f>
        <v>2191.5310243459735</v>
      </c>
      <c r="D33" s="11">
        <f t="shared" si="0"/>
        <v>2191.5310243459735</v>
      </c>
      <c r="E33" s="12">
        <f>+FACTURACIÓN!H32</f>
        <v>0</v>
      </c>
      <c r="F33" s="12">
        <f>+FACTURACIÓN!L32</f>
        <v>0</v>
      </c>
      <c r="G33" s="87">
        <f>+FACTURACIÓN!BM32</f>
        <v>0</v>
      </c>
      <c r="H33" s="87">
        <f>+FACTURACIÓN!J32</f>
        <v>0</v>
      </c>
      <c r="I33" s="143"/>
      <c r="J33" s="87">
        <f>+FACTURACIÓN!I32</f>
        <v>0</v>
      </c>
      <c r="K33" s="87">
        <f t="shared" si="1"/>
        <v>0</v>
      </c>
      <c r="L33" s="54">
        <f t="shared" si="2"/>
        <v>2191.5310243459735</v>
      </c>
      <c r="M33" s="28"/>
      <c r="N33" s="63" t="s">
        <v>59</v>
      </c>
      <c r="O33" s="61" t="s">
        <v>60</v>
      </c>
      <c r="P33" s="28"/>
      <c r="Q33" s="28"/>
      <c r="R33" s="28"/>
    </row>
    <row r="34" spans="1:18" ht="11.25" x14ac:dyDescent="0.2">
      <c r="A34" s="3" t="s">
        <v>61</v>
      </c>
      <c r="B34" s="2" t="s">
        <v>62</v>
      </c>
      <c r="C34" s="87">
        <f>+FACTURACIÓN!C33+FACTURACIÓN!D33+FACTURACIÓN!E33-'C&amp;A'!H34+FACTURACIÓN!F33+FACTURACIÓN!G33</f>
        <v>2074.2505678096513</v>
      </c>
      <c r="D34" s="11">
        <f t="shared" si="0"/>
        <v>2074.2505678096513</v>
      </c>
      <c r="E34" s="12">
        <f>+FACTURACIÓN!H33</f>
        <v>0</v>
      </c>
      <c r="F34" s="12">
        <f>+FACTURACIÓN!L33</f>
        <v>0</v>
      </c>
      <c r="G34" s="87">
        <f>+FACTURACIÓN!BM33</f>
        <v>0</v>
      </c>
      <c r="H34" s="87">
        <f>+FACTURACIÓN!J33</f>
        <v>0</v>
      </c>
      <c r="I34" s="143">
        <v>25</v>
      </c>
      <c r="J34" s="87">
        <f>+FACTURACIÓN!I33</f>
        <v>0</v>
      </c>
      <c r="K34" s="87">
        <f t="shared" si="1"/>
        <v>25</v>
      </c>
      <c r="L34" s="54">
        <f t="shared" si="2"/>
        <v>2049.2505678096513</v>
      </c>
      <c r="M34" s="28"/>
      <c r="N34" s="63" t="s">
        <v>61</v>
      </c>
      <c r="O34" s="61" t="s">
        <v>62</v>
      </c>
      <c r="P34" s="28"/>
      <c r="Q34" s="28"/>
      <c r="R34" s="28"/>
    </row>
    <row r="35" spans="1:18" ht="11.25" x14ac:dyDescent="0.2">
      <c r="A35" s="3" t="s">
        <v>63</v>
      </c>
      <c r="B35" s="2" t="s">
        <v>64</v>
      </c>
      <c r="C35" s="87">
        <f>+FACTURACIÓN!C34+FACTURACIÓN!D34+FACTURACIÓN!E34-'C&amp;A'!H35+FACTURACIÓN!F34+FACTURACIÓN!G34</f>
        <v>951.53102434597326</v>
      </c>
      <c r="D35" s="11">
        <f t="shared" si="0"/>
        <v>951.53102434597326</v>
      </c>
      <c r="E35" s="12">
        <f>+FACTURACIÓN!H34</f>
        <v>0</v>
      </c>
      <c r="F35" s="12">
        <f>+FACTURACIÓN!L34</f>
        <v>313.89999999999998</v>
      </c>
      <c r="G35" s="87">
        <f>+FACTURACIÓN!BM34</f>
        <v>0</v>
      </c>
      <c r="H35" s="87">
        <f>+FACTURACIÓN!J34</f>
        <v>0</v>
      </c>
      <c r="I35" s="143"/>
      <c r="J35" s="87">
        <f>+FACTURACIÓN!I34</f>
        <v>0</v>
      </c>
      <c r="K35" s="87">
        <f t="shared" si="1"/>
        <v>313.89999999999998</v>
      </c>
      <c r="L35" s="54">
        <f t="shared" si="2"/>
        <v>637.63102434597329</v>
      </c>
      <c r="M35" s="28"/>
      <c r="N35" s="63" t="s">
        <v>63</v>
      </c>
      <c r="O35" s="61" t="s">
        <v>64</v>
      </c>
      <c r="P35" s="28"/>
      <c r="Q35" s="28"/>
      <c r="R35" s="28"/>
    </row>
    <row r="36" spans="1:18" ht="11.25" x14ac:dyDescent="0.2">
      <c r="A36" s="3" t="s">
        <v>65</v>
      </c>
      <c r="B36" s="2" t="s">
        <v>66</v>
      </c>
      <c r="C36" s="87">
        <f>+FACTURACIÓN!C35+FACTURACIÓN!D35+FACTURACIÓN!E35-'C&amp;A'!H36+FACTURACIÓN!F35+FACTURACIÓN!G35</f>
        <v>2026.0205678096515</v>
      </c>
      <c r="D36" s="11">
        <f t="shared" si="0"/>
        <v>2026.0205678096515</v>
      </c>
      <c r="E36" s="12">
        <f>+FACTURACIÓN!H35</f>
        <v>0</v>
      </c>
      <c r="F36" s="12">
        <f>+FACTURACIÓN!L35</f>
        <v>215.92</v>
      </c>
      <c r="G36" s="87">
        <f>+FACTURACIÓN!BM35</f>
        <v>0</v>
      </c>
      <c r="H36" s="87">
        <f>+FACTURACIÓN!J35</f>
        <v>0</v>
      </c>
      <c r="I36" s="143">
        <v>72.13</v>
      </c>
      <c r="J36" s="87">
        <f>+FACTURACIÓN!I35</f>
        <v>0</v>
      </c>
      <c r="K36" s="87">
        <f t="shared" si="1"/>
        <v>288.04999999999995</v>
      </c>
      <c r="L36" s="54">
        <f t="shared" si="2"/>
        <v>1737.9705678096516</v>
      </c>
      <c r="M36" s="28"/>
      <c r="N36" s="63" t="s">
        <v>65</v>
      </c>
      <c r="O36" s="61" t="s">
        <v>66</v>
      </c>
      <c r="P36" s="28"/>
      <c r="Q36" s="28"/>
      <c r="R36" s="28"/>
    </row>
    <row r="37" spans="1:18" ht="11.25" x14ac:dyDescent="0.2">
      <c r="A37" s="3" t="s">
        <v>67</v>
      </c>
      <c r="B37" s="2" t="s">
        <v>68</v>
      </c>
      <c r="C37" s="87">
        <f>+FACTURACIÓN!C36+FACTURACIÓN!D36+FACTURACIÓN!E36-'C&amp;A'!H37+FACTURACIÓN!F36+FACTURACIÓN!G36</f>
        <v>701.53102434597326</v>
      </c>
      <c r="D37" s="11">
        <f t="shared" si="0"/>
        <v>701.53102434597326</v>
      </c>
      <c r="E37" s="12">
        <f>+FACTURACIÓN!H36</f>
        <v>0</v>
      </c>
      <c r="F37" s="12">
        <f>+FACTURACIÓN!L36</f>
        <v>0</v>
      </c>
      <c r="G37" s="87">
        <f>+FACTURACIÓN!BM36</f>
        <v>0</v>
      </c>
      <c r="H37" s="87">
        <f>+FACTURACIÓN!J36</f>
        <v>0</v>
      </c>
      <c r="I37" s="143"/>
      <c r="J37" s="87">
        <f>+FACTURACIÓN!I36</f>
        <v>0</v>
      </c>
      <c r="K37" s="87">
        <f t="shared" si="1"/>
        <v>0</v>
      </c>
      <c r="L37" s="54">
        <f t="shared" si="2"/>
        <v>701.53102434597326</v>
      </c>
      <c r="M37" s="28"/>
      <c r="N37" s="63" t="s">
        <v>67</v>
      </c>
      <c r="O37" s="61" t="s">
        <v>68</v>
      </c>
      <c r="P37" s="28"/>
      <c r="Q37" s="28"/>
      <c r="R37" s="28"/>
    </row>
    <row r="38" spans="1:18" ht="11.25" x14ac:dyDescent="0.2">
      <c r="A38" s="3" t="s">
        <v>69</v>
      </c>
      <c r="B38" s="2" t="s">
        <v>70</v>
      </c>
      <c r="C38" s="87">
        <f>+FACTURACIÓN!C37+FACTURACIÓN!D37+FACTURACIÓN!E37-'C&amp;A'!H38+FACTURACIÓN!F37+FACTURACIÓN!G37</f>
        <v>1658.1738971313578</v>
      </c>
      <c r="D38" s="11">
        <f t="shared" si="0"/>
        <v>1658.1738971313578</v>
      </c>
      <c r="E38" s="12">
        <f>+FACTURACIÓN!H37</f>
        <v>0</v>
      </c>
      <c r="F38" s="12">
        <f>+FACTURACIÓN!L37</f>
        <v>0</v>
      </c>
      <c r="G38" s="87">
        <f>+FACTURACIÓN!BM37</f>
        <v>0</v>
      </c>
      <c r="H38" s="87">
        <f>+FACTURACIÓN!J37</f>
        <v>183.33333333333334</v>
      </c>
      <c r="I38" s="143"/>
      <c r="J38" s="87">
        <f>+FACTURACIÓN!I37</f>
        <v>0</v>
      </c>
      <c r="K38" s="87">
        <f t="shared" si="1"/>
        <v>183.33333333333334</v>
      </c>
      <c r="L38" s="54">
        <f t="shared" si="2"/>
        <v>1474.8405637980245</v>
      </c>
      <c r="M38" s="28"/>
      <c r="N38" s="63" t="s">
        <v>69</v>
      </c>
      <c r="O38" s="61" t="s">
        <v>70</v>
      </c>
      <c r="P38" s="28"/>
      <c r="Q38" s="28"/>
      <c r="R38" s="28"/>
    </row>
    <row r="39" spans="1:18" ht="11.25" x14ac:dyDescent="0.2">
      <c r="A39" s="3" t="s">
        <v>71</v>
      </c>
      <c r="B39" s="2" t="s">
        <v>72</v>
      </c>
      <c r="C39" s="87">
        <f>+FACTURACIÓN!C38+FACTURACIÓN!D38+FACTURACIÓN!E38-'C&amp;A'!H39+FACTURACIÓN!F38+FACTURACIÓN!G38</f>
        <v>2387.9205678096514</v>
      </c>
      <c r="D39" s="11">
        <f t="shared" si="0"/>
        <v>2387.9205678096514</v>
      </c>
      <c r="E39" s="12">
        <f>+FACTURACIÓN!H38</f>
        <v>0</v>
      </c>
      <c r="F39" s="12">
        <f>+FACTURACIÓN!L38</f>
        <v>357.22</v>
      </c>
      <c r="G39" s="87">
        <f>+FACTURACIÓN!BM38</f>
        <v>0</v>
      </c>
      <c r="H39" s="87">
        <f>+FACTURACIÓN!J38</f>
        <v>0</v>
      </c>
      <c r="I39" s="143"/>
      <c r="J39" s="87">
        <f>+FACTURACIÓN!I38</f>
        <v>0</v>
      </c>
      <c r="K39" s="87">
        <f t="shared" si="1"/>
        <v>357.22</v>
      </c>
      <c r="L39" s="54">
        <f t="shared" si="2"/>
        <v>2030.7005678096514</v>
      </c>
      <c r="M39" s="28"/>
      <c r="N39" s="63" t="s">
        <v>71</v>
      </c>
      <c r="O39" s="61" t="s">
        <v>72</v>
      </c>
      <c r="P39" s="28"/>
      <c r="Q39" s="28"/>
      <c r="R39" s="28"/>
    </row>
    <row r="40" spans="1:18" ht="11.25" x14ac:dyDescent="0.2">
      <c r="A40" s="3" t="s">
        <v>73</v>
      </c>
      <c r="B40" s="2" t="s">
        <v>74</v>
      </c>
      <c r="C40" s="87">
        <f>+FACTURACIÓN!C39+FACTURACIÓN!D39+FACTURACIÓN!E39-'C&amp;A'!H40+FACTURACIÓN!F39+FACTURACIÓN!G39</f>
        <v>2571.5310243459735</v>
      </c>
      <c r="D40" s="11">
        <f t="shared" si="0"/>
        <v>2571.5310243459735</v>
      </c>
      <c r="E40" s="12">
        <f>+FACTURACIÓN!H39</f>
        <v>0</v>
      </c>
      <c r="F40" s="12">
        <f>+FACTURACIÓN!L39</f>
        <v>0</v>
      </c>
      <c r="G40" s="87">
        <f>+FACTURACIÓN!BM39</f>
        <v>0</v>
      </c>
      <c r="H40" s="87">
        <f>+FACTURACIÓN!J39</f>
        <v>0</v>
      </c>
      <c r="I40" s="143"/>
      <c r="J40" s="87">
        <f>+FACTURACIÓN!I39</f>
        <v>0</v>
      </c>
      <c r="K40" s="87">
        <f t="shared" si="1"/>
        <v>0</v>
      </c>
      <c r="L40" s="54">
        <f t="shared" si="2"/>
        <v>2571.5310243459735</v>
      </c>
      <c r="M40" s="28"/>
      <c r="N40" s="63" t="s">
        <v>73</v>
      </c>
      <c r="O40" s="61" t="s">
        <v>74</v>
      </c>
      <c r="P40" s="28"/>
      <c r="Q40" s="28"/>
      <c r="R40" s="28"/>
    </row>
    <row r="41" spans="1:18" ht="11.25" x14ac:dyDescent="0.2">
      <c r="A41" s="3" t="s">
        <v>159</v>
      </c>
      <c r="B41" s="2" t="s">
        <v>160</v>
      </c>
      <c r="C41" s="87">
        <f>+FACTURACIÓN!C40+FACTURACIÓN!D40+FACTURACIÓN!E40-'C&amp;A'!H41+FACTURACIÓN!F40+FACTURACIÓN!G40</f>
        <v>4262.8</v>
      </c>
      <c r="D41" s="11">
        <f t="shared" si="0"/>
        <v>4262.8</v>
      </c>
      <c r="E41" s="12">
        <f>+FACTURACIÓN!H40</f>
        <v>0</v>
      </c>
      <c r="F41" s="12">
        <f>+FACTURACIÓN!L40</f>
        <v>0</v>
      </c>
      <c r="G41" s="87">
        <f>+FACTURACIÓN!BM40</f>
        <v>550</v>
      </c>
      <c r="H41" s="87">
        <f>+FACTURACIÓN!J40</f>
        <v>0</v>
      </c>
      <c r="I41" s="143"/>
      <c r="J41" s="87">
        <f>+FACTURACIÓN!I40</f>
        <v>0</v>
      </c>
      <c r="K41" s="87">
        <f t="shared" si="1"/>
        <v>550</v>
      </c>
      <c r="L41" s="54">
        <f t="shared" si="2"/>
        <v>3712.8</v>
      </c>
      <c r="M41" s="28"/>
      <c r="N41" s="63" t="s">
        <v>159</v>
      </c>
      <c r="O41" s="61" t="s">
        <v>160</v>
      </c>
      <c r="P41" s="28"/>
      <c r="Q41" s="28"/>
      <c r="R41" s="28"/>
    </row>
    <row r="42" spans="1:18" ht="11.25" x14ac:dyDescent="0.2">
      <c r="A42" s="3" t="s">
        <v>75</v>
      </c>
      <c r="B42" s="2" t="s">
        <v>76</v>
      </c>
      <c r="C42" s="87">
        <f>+FACTURACIÓN!C41+FACTURACIÓN!D41+FACTURACIÓN!E41-'C&amp;A'!H42+FACTURACIÓN!F41+FACTURACIÓN!G41</f>
        <v>2954.63</v>
      </c>
      <c r="D42" s="11">
        <f t="shared" si="0"/>
        <v>2954.63</v>
      </c>
      <c r="E42" s="12">
        <f>+FACTURACIÓN!H41</f>
        <v>0</v>
      </c>
      <c r="F42" s="12">
        <f>+FACTURACIÓN!L41</f>
        <v>0</v>
      </c>
      <c r="G42" s="87">
        <f>+FACTURACIÓN!BM41</f>
        <v>0</v>
      </c>
      <c r="H42" s="87">
        <f>+FACTURACIÓN!J41</f>
        <v>0</v>
      </c>
      <c r="I42" s="143"/>
      <c r="J42" s="87">
        <f>+FACTURACIÓN!I41</f>
        <v>0</v>
      </c>
      <c r="K42" s="87">
        <f t="shared" si="1"/>
        <v>0</v>
      </c>
      <c r="L42" s="54">
        <f t="shared" ref="L42:L63" si="3">+D42-K42</f>
        <v>2954.63</v>
      </c>
      <c r="M42" s="28"/>
      <c r="N42" s="63" t="s">
        <v>75</v>
      </c>
      <c r="O42" s="61" t="s">
        <v>76</v>
      </c>
      <c r="P42" s="28"/>
      <c r="Q42" s="28"/>
      <c r="R42" s="28"/>
    </row>
    <row r="43" spans="1:18" ht="11.25" x14ac:dyDescent="0.2">
      <c r="A43" s="3" t="s">
        <v>77</v>
      </c>
      <c r="B43" s="2" t="s">
        <v>78</v>
      </c>
      <c r="C43" s="87">
        <f>+FACTURACIÓN!C42+FACTURACIÓN!D42+FACTURACIÓN!E42-'C&amp;A'!H43+FACTURACIÓN!F42+FACTURACIÓN!G42</f>
        <v>137.93099727735466</v>
      </c>
      <c r="D43" s="11">
        <f t="shared" si="0"/>
        <v>137.93099727735466</v>
      </c>
      <c r="E43" s="12">
        <f>+FACTURACIÓN!H42</f>
        <v>0</v>
      </c>
      <c r="F43" s="12">
        <f>+FACTURACIÓN!L42</f>
        <v>0</v>
      </c>
      <c r="G43" s="87">
        <f>+FACTURACIÓN!BM42</f>
        <v>0</v>
      </c>
      <c r="H43" s="87">
        <f>+FACTURACIÓN!J42</f>
        <v>0</v>
      </c>
      <c r="I43" s="143">
        <v>136.82</v>
      </c>
      <c r="J43" s="87">
        <f>+FACTURACIÓN!I42</f>
        <v>0</v>
      </c>
      <c r="K43" s="87">
        <f t="shared" si="1"/>
        <v>136.82</v>
      </c>
      <c r="L43" s="54">
        <f t="shared" si="3"/>
        <v>1.1109972773546701</v>
      </c>
      <c r="M43" s="28"/>
      <c r="N43" s="63" t="s">
        <v>77</v>
      </c>
      <c r="O43" s="61" t="s">
        <v>78</v>
      </c>
      <c r="P43" s="28"/>
      <c r="Q43" s="28"/>
      <c r="R43" s="28"/>
    </row>
    <row r="44" spans="1:18" ht="11.25" x14ac:dyDescent="0.2">
      <c r="A44" s="3" t="s">
        <v>79</v>
      </c>
      <c r="B44" s="85" t="s">
        <v>80</v>
      </c>
      <c r="C44" s="87">
        <f>+FACTURACIÓN!C43+FACTURACIÓN!D43+FACTURACIÓN!E43-'C&amp;A'!H44+FACTURACIÓN!F43+FACTURACIÓN!G43</f>
        <v>2387.9205678096514</v>
      </c>
      <c r="D44" s="11">
        <f t="shared" si="0"/>
        <v>2387.9205678096514</v>
      </c>
      <c r="E44" s="12">
        <f>+FACTURACIÓN!H43</f>
        <v>0</v>
      </c>
      <c r="F44" s="12">
        <f>+FACTURACIÓN!L43</f>
        <v>878.82</v>
      </c>
      <c r="G44" s="87">
        <f>+FACTURACIÓN!BM43</f>
        <v>0</v>
      </c>
      <c r="H44" s="87">
        <f>+FACTURACIÓN!J43</f>
        <v>0</v>
      </c>
      <c r="I44" s="143"/>
      <c r="J44" s="87">
        <f>+FACTURACIÓN!I43</f>
        <v>0</v>
      </c>
      <c r="K44" s="87">
        <f t="shared" si="1"/>
        <v>878.82</v>
      </c>
      <c r="L44" s="54">
        <f t="shared" si="3"/>
        <v>1509.1005678096512</v>
      </c>
      <c r="M44" s="28"/>
      <c r="N44" s="63" t="s">
        <v>79</v>
      </c>
      <c r="O44" s="61" t="s">
        <v>80</v>
      </c>
      <c r="P44" s="28"/>
      <c r="Q44" s="28"/>
      <c r="R44" s="28"/>
    </row>
    <row r="45" spans="1:18" ht="11.25" x14ac:dyDescent="0.2">
      <c r="A45" s="3" t="s">
        <v>81</v>
      </c>
      <c r="B45" s="2" t="s">
        <v>82</v>
      </c>
      <c r="C45" s="87">
        <f>+FACTURACIÓN!C44+FACTURACIÓN!D44+FACTURACIÓN!E44-'C&amp;A'!H45+FACTURACIÓN!F44+FACTURACIÓN!G44</f>
        <v>2387.9205678096514</v>
      </c>
      <c r="D45" s="11">
        <f t="shared" si="0"/>
        <v>2387.9205678096514</v>
      </c>
      <c r="E45" s="12">
        <f>+FACTURACIÓN!H44</f>
        <v>0</v>
      </c>
      <c r="F45" s="12">
        <f>+FACTURACIÓN!L44</f>
        <v>0</v>
      </c>
      <c r="G45" s="87">
        <f>+FACTURACIÓN!BM44</f>
        <v>0</v>
      </c>
      <c r="H45" s="87">
        <f>+FACTURACIÓN!J44</f>
        <v>0</v>
      </c>
      <c r="I45" s="143"/>
      <c r="J45" s="87">
        <f>+FACTURACIÓN!I44</f>
        <v>0</v>
      </c>
      <c r="K45" s="87">
        <f t="shared" si="1"/>
        <v>0</v>
      </c>
      <c r="L45" s="54">
        <f t="shared" si="3"/>
        <v>2387.9205678096514</v>
      </c>
      <c r="M45" s="28"/>
      <c r="N45" s="63" t="s">
        <v>81</v>
      </c>
      <c r="O45" s="61" t="s">
        <v>82</v>
      </c>
      <c r="P45" s="28"/>
      <c r="Q45" s="28"/>
      <c r="R45" s="28"/>
    </row>
    <row r="46" spans="1:18" ht="11.25" x14ac:dyDescent="0.2">
      <c r="A46" s="3" t="s">
        <v>83</v>
      </c>
      <c r="B46" s="2" t="s">
        <v>84</v>
      </c>
      <c r="C46" s="87">
        <f>+FACTURACIÓN!C45+FACTURACIÓN!D45+FACTURACIÓN!E45-'C&amp;A'!H46+FACTURACIÓN!F45+FACTURACIÓN!G45</f>
        <v>3762.8</v>
      </c>
      <c r="D46" s="11">
        <f t="shared" si="0"/>
        <v>3762.8</v>
      </c>
      <c r="E46" s="12">
        <f>+FACTURACIÓN!H45</f>
        <v>0</v>
      </c>
      <c r="F46" s="12">
        <f>+FACTURACIÓN!L45</f>
        <v>0</v>
      </c>
      <c r="G46" s="87">
        <f>+FACTURACIÓN!BM45</f>
        <v>500</v>
      </c>
      <c r="H46" s="87">
        <f>+FACTURACIÓN!J45</f>
        <v>0</v>
      </c>
      <c r="I46" s="143">
        <v>36.1</v>
      </c>
      <c r="J46" s="87">
        <f>+FACTURACIÓN!I45</f>
        <v>0</v>
      </c>
      <c r="K46" s="87">
        <f t="shared" si="1"/>
        <v>536.1</v>
      </c>
      <c r="L46" s="54">
        <f t="shared" si="3"/>
        <v>3226.7000000000003</v>
      </c>
      <c r="M46" s="28"/>
      <c r="N46" s="63" t="s">
        <v>83</v>
      </c>
      <c r="O46" s="61" t="s">
        <v>84</v>
      </c>
      <c r="P46" s="28"/>
      <c r="Q46" s="28"/>
      <c r="R46" s="28"/>
    </row>
    <row r="47" spans="1:18" ht="11.25" x14ac:dyDescent="0.2">
      <c r="A47" s="3" t="s">
        <v>85</v>
      </c>
      <c r="B47" s="2" t="s">
        <v>86</v>
      </c>
      <c r="C47" s="87">
        <f>+FACTURACIÓN!C46+FACTURACIÓN!D46+FACTURACIÓN!E46-'C&amp;A'!H47+FACTURACIÓN!F46+FACTURACIÓN!G46</f>
        <v>4762.8</v>
      </c>
      <c r="D47" s="11">
        <f t="shared" si="0"/>
        <v>4762.8</v>
      </c>
      <c r="E47" s="12">
        <f>+FACTURACIÓN!H46</f>
        <v>0</v>
      </c>
      <c r="F47" s="12">
        <f>+FACTURACIÓN!L46</f>
        <v>1014.46</v>
      </c>
      <c r="G47" s="87">
        <f>+FACTURACIÓN!BM46</f>
        <v>600</v>
      </c>
      <c r="H47" s="87">
        <f>+FACTURACIÓN!J46</f>
        <v>0</v>
      </c>
      <c r="I47" s="143"/>
      <c r="J47" s="87">
        <f>+FACTURACIÓN!I46</f>
        <v>0</v>
      </c>
      <c r="K47" s="87">
        <f t="shared" si="1"/>
        <v>1614.46</v>
      </c>
      <c r="L47" s="54">
        <f t="shared" si="3"/>
        <v>3148.34</v>
      </c>
      <c r="M47" s="28"/>
      <c r="N47" s="63" t="s">
        <v>85</v>
      </c>
      <c r="O47" s="61" t="s">
        <v>86</v>
      </c>
      <c r="P47" s="28"/>
      <c r="Q47" s="28"/>
      <c r="R47" s="28"/>
    </row>
    <row r="48" spans="1:18" ht="11.25" x14ac:dyDescent="0.2">
      <c r="A48" s="3" t="s">
        <v>166</v>
      </c>
      <c r="B48" s="2" t="s">
        <v>161</v>
      </c>
      <c r="C48" s="87">
        <f>+FACTURACIÓN!C47+FACTURACIÓN!D47+FACTURACIÓN!E47-'C&amp;A'!H48+FACTURACIÓN!F47+FACTURACIÓN!G47</f>
        <v>16331.2</v>
      </c>
      <c r="D48" s="11">
        <f t="shared" si="0"/>
        <v>16331.2</v>
      </c>
      <c r="E48" s="12">
        <f>+FACTURACIÓN!H47</f>
        <v>0</v>
      </c>
      <c r="F48" s="12">
        <f>+FACTURACIÓN!L47</f>
        <v>0</v>
      </c>
      <c r="G48" s="87">
        <f>+FACTURACIÓN!BM47</f>
        <v>1750</v>
      </c>
      <c r="H48" s="87">
        <f>+FACTURACIÓN!J47</f>
        <v>0</v>
      </c>
      <c r="I48" s="143"/>
      <c r="J48" s="87">
        <f>+FACTURACIÓN!I47</f>
        <v>0</v>
      </c>
      <c r="K48" s="87">
        <f t="shared" si="1"/>
        <v>1750</v>
      </c>
      <c r="L48" s="54">
        <f t="shared" si="3"/>
        <v>14581.2</v>
      </c>
      <c r="M48" s="28"/>
      <c r="N48" s="66" t="s">
        <v>166</v>
      </c>
      <c r="O48" s="61" t="s">
        <v>161</v>
      </c>
      <c r="P48" s="28"/>
      <c r="Q48" s="28"/>
      <c r="R48" s="28"/>
    </row>
    <row r="49" spans="1:18" s="67" customFormat="1" ht="11.25" x14ac:dyDescent="0.2">
      <c r="A49" s="66" t="s">
        <v>87</v>
      </c>
      <c r="B49" s="67" t="s">
        <v>88</v>
      </c>
      <c r="C49" s="87">
        <f>+FACTURACIÓN!C48+FACTURACIÓN!D48+FACTURACIÓN!E48-'C&amp;A'!H49+FACTURACIÓN!F48+FACTURACIÓN!G48</f>
        <v>1354.5283576793067</v>
      </c>
      <c r="D49" s="68">
        <f t="shared" si="0"/>
        <v>1354.5283576793067</v>
      </c>
      <c r="E49" s="69">
        <f>+FACTURACIÓN!H48</f>
        <v>0</v>
      </c>
      <c r="F49" s="69">
        <f>+FACTURACIÓN!L48</f>
        <v>1280.0899999999999</v>
      </c>
      <c r="G49" s="87">
        <f>+FACTURACIÓN!BM48</f>
        <v>0</v>
      </c>
      <c r="H49" s="68">
        <f>+FACTURACIÓN!J48</f>
        <v>0</v>
      </c>
      <c r="I49" s="143"/>
      <c r="J49" s="87">
        <f>+FACTURACIÓN!I48</f>
        <v>0</v>
      </c>
      <c r="K49" s="87">
        <f t="shared" si="1"/>
        <v>1280.0899999999999</v>
      </c>
      <c r="L49" s="139">
        <f t="shared" si="3"/>
        <v>74.438357679306819</v>
      </c>
      <c r="M49" s="61"/>
      <c r="N49" s="63" t="s">
        <v>87</v>
      </c>
      <c r="O49" s="61" t="s">
        <v>88</v>
      </c>
      <c r="P49" s="61"/>
      <c r="Q49" s="61"/>
      <c r="R49" s="61"/>
    </row>
    <row r="50" spans="1:18" ht="11.25" x14ac:dyDescent="0.2">
      <c r="A50" s="3" t="s">
        <v>89</v>
      </c>
      <c r="B50" s="2" t="s">
        <v>90</v>
      </c>
      <c r="C50" s="87">
        <f>+FACTURACIÓN!C49+FACTURACIÓN!D49+FACTURACIÓN!E49-'C&amp;A'!H50+FACTURACIÓN!F49+FACTURACIÓN!G49</f>
        <v>2223.2305678096518</v>
      </c>
      <c r="D50" s="11">
        <f t="shared" si="0"/>
        <v>2223.2305678096518</v>
      </c>
      <c r="E50" s="12">
        <f>+FACTURACIÓN!H49</f>
        <v>0</v>
      </c>
      <c r="F50" s="12">
        <f>+FACTURACIÓN!L49</f>
        <v>0</v>
      </c>
      <c r="G50" s="87">
        <f>+FACTURACIÓN!BM49</f>
        <v>0</v>
      </c>
      <c r="H50" s="87">
        <f>+FACTURACIÓN!J49</f>
        <v>0</v>
      </c>
      <c r="I50" s="143">
        <v>42</v>
      </c>
      <c r="J50" s="87">
        <f>+FACTURACIÓN!I49</f>
        <v>0</v>
      </c>
      <c r="K50" s="87">
        <f t="shared" si="1"/>
        <v>42</v>
      </c>
      <c r="L50" s="54">
        <f t="shared" si="3"/>
        <v>2181.2305678096518</v>
      </c>
      <c r="M50" s="28"/>
      <c r="N50" s="63" t="s">
        <v>89</v>
      </c>
      <c r="O50" s="61" t="s">
        <v>90</v>
      </c>
      <c r="P50" s="28"/>
      <c r="Q50" s="28"/>
      <c r="R50" s="28"/>
    </row>
    <row r="51" spans="1:18" ht="11.25" x14ac:dyDescent="0.2">
      <c r="A51" s="3" t="s">
        <v>91</v>
      </c>
      <c r="B51" s="2" t="s">
        <v>92</v>
      </c>
      <c r="C51" s="87">
        <f>+FACTURACIÓN!C50+FACTURACIÓN!D50+FACTURACIÓN!E50-'C&amp;A'!H51+FACTURACIÓN!F50+FACTURACIÓN!G50</f>
        <v>4615.7700000000004</v>
      </c>
      <c r="D51" s="11">
        <f t="shared" si="0"/>
        <v>4615.7700000000004</v>
      </c>
      <c r="E51" s="12">
        <f>+FACTURACIÓN!H50</f>
        <v>0</v>
      </c>
      <c r="F51" s="12">
        <f>+FACTURACIÓN!L50</f>
        <v>0</v>
      </c>
      <c r="G51" s="87">
        <f>+FACTURACIÓN!BM50</f>
        <v>585.29700000000003</v>
      </c>
      <c r="H51" s="87">
        <f>+FACTURACIÓN!J50</f>
        <v>0</v>
      </c>
      <c r="I51" s="143">
        <v>38.700000000000003</v>
      </c>
      <c r="J51" s="87">
        <f>+FACTURACIÓN!I50</f>
        <v>0</v>
      </c>
      <c r="K51" s="87">
        <f t="shared" si="1"/>
        <v>623.99700000000007</v>
      </c>
      <c r="L51" s="54">
        <f t="shared" si="3"/>
        <v>3991.7730000000001</v>
      </c>
      <c r="M51" s="28"/>
      <c r="N51" s="63" t="s">
        <v>91</v>
      </c>
      <c r="O51" s="61" t="s">
        <v>92</v>
      </c>
      <c r="P51" s="28"/>
      <c r="Q51" s="28"/>
      <c r="R51" s="28"/>
    </row>
    <row r="52" spans="1:18" ht="11.25" x14ac:dyDescent="0.2">
      <c r="A52" s="3" t="s">
        <v>93</v>
      </c>
      <c r="B52" s="2" t="s">
        <v>94</v>
      </c>
      <c r="C52" s="87">
        <f>+FACTURACIÓN!C51+FACTURACIÓN!D51+FACTURACIÓN!E51-'C&amp;A'!H52+FACTURACIÓN!F51+FACTURACIÓN!G51</f>
        <v>951.53102434597326</v>
      </c>
      <c r="D52" s="11">
        <f t="shared" si="0"/>
        <v>951.53102434597326</v>
      </c>
      <c r="E52" s="12">
        <f>+FACTURACIÓN!H51</f>
        <v>217.28</v>
      </c>
      <c r="F52" s="12">
        <f>+FACTURACIÓN!L51</f>
        <v>0</v>
      </c>
      <c r="G52" s="87">
        <f>+FACTURACIÓN!BM51</f>
        <v>0</v>
      </c>
      <c r="H52" s="87">
        <f>+FACTURACIÓN!J51</f>
        <v>0</v>
      </c>
      <c r="I52" s="143"/>
      <c r="J52" s="87">
        <f>+FACTURACIÓN!I51</f>
        <v>0</v>
      </c>
      <c r="K52" s="87">
        <f t="shared" si="1"/>
        <v>217.28</v>
      </c>
      <c r="L52" s="54">
        <f t="shared" si="3"/>
        <v>734.25102434597329</v>
      </c>
      <c r="M52" s="28"/>
      <c r="N52" s="63" t="s">
        <v>93</v>
      </c>
      <c r="O52" s="61" t="s">
        <v>94</v>
      </c>
      <c r="P52" s="28"/>
      <c r="Q52" s="28"/>
      <c r="R52" s="28"/>
    </row>
    <row r="53" spans="1:18" ht="11.25" x14ac:dyDescent="0.2">
      <c r="A53" s="3" t="s">
        <v>95</v>
      </c>
      <c r="B53" s="2" t="s">
        <v>96</v>
      </c>
      <c r="C53" s="87">
        <f>+FACTURACIÓN!C52+FACTURACIÓN!D52+FACTURACIÓN!E52-'C&amp;A'!H53+FACTURACIÓN!F52+FACTURACIÓN!G52</f>
        <v>951.53102434597326</v>
      </c>
      <c r="D53" s="11">
        <f t="shared" si="0"/>
        <v>951.53102434597326</v>
      </c>
      <c r="E53" s="12">
        <f>+FACTURACIÓN!H52</f>
        <v>0</v>
      </c>
      <c r="F53" s="12">
        <f>+FACTURACIÓN!L52</f>
        <v>0</v>
      </c>
      <c r="G53" s="87">
        <f>+FACTURACIÓN!BM52</f>
        <v>0</v>
      </c>
      <c r="H53" s="87">
        <f>+FACTURACIÓN!J52</f>
        <v>0</v>
      </c>
      <c r="I53" s="143"/>
      <c r="J53" s="87">
        <f>+FACTURACIÓN!I52</f>
        <v>0</v>
      </c>
      <c r="K53" s="87">
        <f t="shared" si="1"/>
        <v>0</v>
      </c>
      <c r="L53" s="54">
        <f t="shared" si="3"/>
        <v>951.53102434597326</v>
      </c>
      <c r="M53" s="28"/>
      <c r="N53" s="63" t="s">
        <v>95</v>
      </c>
      <c r="O53" s="61" t="s">
        <v>96</v>
      </c>
      <c r="P53" s="28"/>
      <c r="Q53" s="28"/>
      <c r="R53" s="28"/>
    </row>
    <row r="54" spans="1:18" ht="11.25" x14ac:dyDescent="0.2">
      <c r="A54" s="3" t="s">
        <v>97</v>
      </c>
      <c r="B54" s="2" t="s">
        <v>98</v>
      </c>
      <c r="C54" s="87">
        <f>+FACTURACIÓN!C53+FACTURACIÓN!D53+FACTURACIÓN!E53-'C&amp;A'!H54+FACTURACIÓN!F53+FACTURACIÓN!G53</f>
        <v>2207.9205678096514</v>
      </c>
      <c r="D54" s="11">
        <f t="shared" si="0"/>
        <v>2207.9205678096514</v>
      </c>
      <c r="E54" s="12">
        <f>+FACTURACIÓN!H53</f>
        <v>0</v>
      </c>
      <c r="F54" s="12">
        <f>+FACTURACIÓN!L53</f>
        <v>0</v>
      </c>
      <c r="G54" s="87">
        <f>+FACTURACIÓN!BM53</f>
        <v>0</v>
      </c>
      <c r="H54" s="87">
        <f>+FACTURACIÓN!J53</f>
        <v>0</v>
      </c>
      <c r="I54" s="143">
        <v>77.5</v>
      </c>
      <c r="J54" s="87">
        <f>+FACTURACIÓN!I53</f>
        <v>0</v>
      </c>
      <c r="K54" s="87">
        <f t="shared" si="1"/>
        <v>77.5</v>
      </c>
      <c r="L54" s="54">
        <f t="shared" si="3"/>
        <v>2130.4205678096514</v>
      </c>
      <c r="M54" s="28"/>
      <c r="N54" s="63" t="s">
        <v>97</v>
      </c>
      <c r="O54" s="61" t="s">
        <v>98</v>
      </c>
      <c r="P54" s="28"/>
      <c r="Q54" s="28"/>
      <c r="R54" s="28"/>
    </row>
    <row r="55" spans="1:18" ht="11.25" x14ac:dyDescent="0.2">
      <c r="A55" s="3" t="s">
        <v>99</v>
      </c>
      <c r="B55" s="2" t="s">
        <v>100</v>
      </c>
      <c r="C55" s="87">
        <f>+FACTURACIÓN!C54+FACTURACIÓN!D54+FACTURACIÓN!E54-'C&amp;A'!H55+FACTURACIÓN!F54+FACTURACIÓN!G54</f>
        <v>5312.5</v>
      </c>
      <c r="D55" s="11">
        <f t="shared" si="0"/>
        <v>5312.5</v>
      </c>
      <c r="E55" s="12">
        <f>+FACTURACIÓN!H54</f>
        <v>0</v>
      </c>
      <c r="F55" s="12">
        <f>+FACTURACIÓN!L54</f>
        <v>340.56</v>
      </c>
      <c r="G55" s="87">
        <f>+FACTURACIÓN!BM54</f>
        <v>654.97</v>
      </c>
      <c r="H55" s="87">
        <f>+FACTURACIÓN!J54</f>
        <v>0</v>
      </c>
      <c r="I55" s="143">
        <v>78.400000000000006</v>
      </c>
      <c r="J55" s="87">
        <f>+FACTURACIÓN!I54</f>
        <v>0</v>
      </c>
      <c r="K55" s="87">
        <f t="shared" si="1"/>
        <v>1073.93</v>
      </c>
      <c r="L55" s="54">
        <f t="shared" si="3"/>
        <v>4238.57</v>
      </c>
      <c r="M55" s="28"/>
      <c r="N55" s="63" t="s">
        <v>99</v>
      </c>
      <c r="O55" s="61" t="s">
        <v>100</v>
      </c>
      <c r="P55" s="28"/>
      <c r="Q55" s="28"/>
      <c r="R55" s="28"/>
    </row>
    <row r="56" spans="1:18" ht="11.25" x14ac:dyDescent="0.2">
      <c r="A56" s="3" t="s">
        <v>101</v>
      </c>
      <c r="B56" s="2" t="s">
        <v>102</v>
      </c>
      <c r="C56" s="87">
        <f>+FACTURACIÓN!C55+FACTURACIÓN!D55+FACTURACIÓN!E55-'C&amp;A'!H56+FACTURACIÓN!F55+FACTURACIÓN!G55</f>
        <v>951.53102434597326</v>
      </c>
      <c r="D56" s="11">
        <f t="shared" si="0"/>
        <v>951.53102434597326</v>
      </c>
      <c r="E56" s="12">
        <f>+FACTURACIÓN!H55</f>
        <v>0</v>
      </c>
      <c r="F56" s="12">
        <f>+FACTURACIÓN!L55</f>
        <v>0</v>
      </c>
      <c r="G56" s="87">
        <f>+FACTURACIÓN!BM55</f>
        <v>0</v>
      </c>
      <c r="H56" s="87">
        <f>+FACTURACIÓN!J55</f>
        <v>0</v>
      </c>
      <c r="I56" s="143"/>
      <c r="J56" s="87">
        <f>+FACTURACIÓN!I55</f>
        <v>0</v>
      </c>
      <c r="K56" s="87">
        <f t="shared" si="1"/>
        <v>0</v>
      </c>
      <c r="L56" s="54">
        <f t="shared" si="3"/>
        <v>951.53102434597326</v>
      </c>
      <c r="M56" s="28"/>
      <c r="N56" s="63" t="s">
        <v>101</v>
      </c>
      <c r="O56" s="61" t="s">
        <v>102</v>
      </c>
      <c r="P56" s="28"/>
      <c r="Q56" s="28"/>
      <c r="R56" s="28"/>
    </row>
    <row r="57" spans="1:18" ht="11.25" x14ac:dyDescent="0.2">
      <c r="A57" s="3" t="s">
        <v>103</v>
      </c>
      <c r="B57" s="2" t="s">
        <v>104</v>
      </c>
      <c r="C57" s="87">
        <f>+FACTURACIÓN!C56+FACTURACIÓN!D56+FACTURACIÓN!E56-'C&amp;A'!H57+FACTURACIÓN!F56+FACTURACIÓN!G56</f>
        <v>2387.9205678096514</v>
      </c>
      <c r="D57" s="11">
        <f t="shared" si="0"/>
        <v>2387.9205678096514</v>
      </c>
      <c r="E57" s="12">
        <f>+FACTURACIÓN!H56</f>
        <v>0</v>
      </c>
      <c r="F57" s="12">
        <f>+FACTURACIÓN!L56</f>
        <v>0</v>
      </c>
      <c r="G57" s="87">
        <f>+FACTURACIÓN!BM56</f>
        <v>0</v>
      </c>
      <c r="H57" s="87">
        <f>+FACTURACIÓN!J56</f>
        <v>0</v>
      </c>
      <c r="I57" s="143"/>
      <c r="J57" s="87">
        <f>+FACTURACIÓN!I56</f>
        <v>0</v>
      </c>
      <c r="K57" s="87">
        <f t="shared" si="1"/>
        <v>0</v>
      </c>
      <c r="L57" s="54">
        <f t="shared" si="3"/>
        <v>2387.9205678096514</v>
      </c>
      <c r="M57" s="28"/>
      <c r="N57" s="63" t="s">
        <v>103</v>
      </c>
      <c r="O57" s="61" t="s">
        <v>104</v>
      </c>
      <c r="P57" s="28"/>
      <c r="Q57" s="28"/>
      <c r="R57" s="28"/>
    </row>
    <row r="58" spans="1:18" s="76" customFormat="1" ht="11.25" x14ac:dyDescent="0.2">
      <c r="A58" s="75" t="s">
        <v>105</v>
      </c>
      <c r="B58" s="76" t="s">
        <v>106</v>
      </c>
      <c r="C58" s="87">
        <f>+FACTURACIÓN!C57+FACTURACIÓN!D57+FACTURACIÓN!E57-'C&amp;A'!H58+FACTURACIÓN!F57+FACTURACIÓN!G57</f>
        <v>11262.8</v>
      </c>
      <c r="D58" s="77">
        <f>SUM(C58)</f>
        <v>11262.8</v>
      </c>
      <c r="E58" s="78">
        <f>+FACTURACIÓN!H57</f>
        <v>0</v>
      </c>
      <c r="F58" s="78">
        <f>+FACTURACIÓN!L57</f>
        <v>0</v>
      </c>
      <c r="G58" s="87">
        <f>+FACTURACIÓN!BM57</f>
        <v>1250</v>
      </c>
      <c r="H58" s="77">
        <f>+FACTURACIÓN!J57</f>
        <v>0</v>
      </c>
      <c r="I58" s="143"/>
      <c r="J58" s="87">
        <f>+FACTURACIÓN!I57</f>
        <v>117.81</v>
      </c>
      <c r="K58" s="87">
        <f t="shared" si="1"/>
        <v>1367.81</v>
      </c>
      <c r="L58" s="54">
        <f t="shared" si="3"/>
        <v>9894.99</v>
      </c>
      <c r="M58" s="28"/>
      <c r="N58" s="27" t="s">
        <v>105</v>
      </c>
      <c r="O58" s="28" t="s">
        <v>106</v>
      </c>
      <c r="P58" s="28"/>
      <c r="Q58" s="28"/>
      <c r="R58" s="28"/>
    </row>
    <row r="59" spans="1:18" s="74" customFormat="1" ht="11.25" x14ac:dyDescent="0.2">
      <c r="A59" s="3" t="s">
        <v>107</v>
      </c>
      <c r="B59" s="2" t="s">
        <v>108</v>
      </c>
      <c r="C59" s="87">
        <f>+FACTURACIÓN!C58+FACTURACIÓN!D58+FACTURACIÓN!E58-'C&amp;A'!H59+FACTURACIÓN!F58+FACTURACIÓN!G58</f>
        <v>2387.9205678096514</v>
      </c>
      <c r="D59" s="11">
        <f t="shared" si="0"/>
        <v>2387.9205678096514</v>
      </c>
      <c r="E59" s="12">
        <f>+FACTURACIÓN!H58</f>
        <v>0</v>
      </c>
      <c r="F59" s="12">
        <f>+FACTURACIÓN!L58</f>
        <v>741.3</v>
      </c>
      <c r="G59" s="87">
        <f>+FACTURACIÓN!BM58</f>
        <v>0</v>
      </c>
      <c r="H59" s="87">
        <f>+FACTURACIÓN!J58</f>
        <v>0</v>
      </c>
      <c r="I59" s="143"/>
      <c r="J59" s="87">
        <f>+FACTURACIÓN!I58</f>
        <v>0</v>
      </c>
      <c r="K59" s="87">
        <f t="shared" si="1"/>
        <v>741.3</v>
      </c>
      <c r="L59" s="54">
        <f t="shared" si="3"/>
        <v>1646.6205678096514</v>
      </c>
      <c r="M59" s="73"/>
      <c r="N59" s="63" t="s">
        <v>107</v>
      </c>
      <c r="O59" s="61" t="s">
        <v>108</v>
      </c>
      <c r="P59" s="73"/>
      <c r="Q59" s="73"/>
      <c r="R59" s="73"/>
    </row>
    <row r="60" spans="1:18" ht="11.25" x14ac:dyDescent="0.2">
      <c r="A60" s="3" t="s">
        <v>109</v>
      </c>
      <c r="B60" s="2" t="s">
        <v>110</v>
      </c>
      <c r="C60" s="87">
        <f>+FACTURACIÓN!C59+FACTURACIÓN!D59+FACTURACIÓN!E59-'C&amp;A'!H60+FACTURACIÓN!F59+FACTURACIÓN!G59</f>
        <v>1658.3738971313578</v>
      </c>
      <c r="D60" s="11">
        <f t="shared" si="0"/>
        <v>1658.3738971313578</v>
      </c>
      <c r="E60" s="12">
        <f>+FACTURACIÓN!H59</f>
        <v>0</v>
      </c>
      <c r="F60" s="12">
        <f>+FACTURACIÓN!L59</f>
        <v>0</v>
      </c>
      <c r="G60" s="87">
        <f>+FACTURACIÓN!BM59</f>
        <v>0</v>
      </c>
      <c r="H60" s="87">
        <f>+FACTURACIÓN!J59</f>
        <v>0</v>
      </c>
      <c r="I60" s="143">
        <v>98.13</v>
      </c>
      <c r="J60" s="87">
        <f>+FACTURACIÓN!I59</f>
        <v>0</v>
      </c>
      <c r="K60" s="87">
        <f t="shared" si="1"/>
        <v>98.13</v>
      </c>
      <c r="L60" s="54">
        <f t="shared" si="3"/>
        <v>1560.2438971313577</v>
      </c>
      <c r="M60" s="28"/>
      <c r="N60" s="63" t="s">
        <v>109</v>
      </c>
      <c r="O60" s="61" t="s">
        <v>110</v>
      </c>
      <c r="P60" s="28"/>
      <c r="Q60" s="28"/>
      <c r="R60" s="28"/>
    </row>
    <row r="61" spans="1:18" ht="11.25" x14ac:dyDescent="0.2">
      <c r="A61" s="3" t="s">
        <v>111</v>
      </c>
      <c r="B61" s="2" t="s">
        <v>112</v>
      </c>
      <c r="C61" s="87">
        <f>+FACTURACIÓN!C60+FACTURACIÓN!D60+FACTURACIÓN!E60-'C&amp;A'!H61+FACTURACIÓN!F60+FACTURACIÓN!G60</f>
        <v>3808.25</v>
      </c>
      <c r="D61" s="11">
        <f t="shared" si="0"/>
        <v>3808.25</v>
      </c>
      <c r="E61" s="12">
        <f>+FACTURACIÓN!H60</f>
        <v>0</v>
      </c>
      <c r="F61" s="12">
        <f>+FACTURACIÓN!L60</f>
        <v>0</v>
      </c>
      <c r="G61" s="87">
        <f>+FACTURACIÓN!BM60</f>
        <v>504.54500000000002</v>
      </c>
      <c r="H61" s="87">
        <f>+FACTURACIÓN!J60</f>
        <v>0</v>
      </c>
      <c r="I61" s="143"/>
      <c r="J61" s="87">
        <f>+FACTURACIÓN!I60</f>
        <v>0</v>
      </c>
      <c r="K61" s="87">
        <f t="shared" si="1"/>
        <v>504.54500000000002</v>
      </c>
      <c r="L61" s="54">
        <f t="shared" si="3"/>
        <v>3303.7049999999999</v>
      </c>
      <c r="M61" s="28"/>
      <c r="N61" s="63" t="s">
        <v>111</v>
      </c>
      <c r="O61" s="61" t="s">
        <v>112</v>
      </c>
      <c r="P61" s="28"/>
      <c r="Q61" s="28"/>
      <c r="R61" s="28"/>
    </row>
    <row r="62" spans="1:18" ht="11.25" x14ac:dyDescent="0.2">
      <c r="A62" s="3" t="s">
        <v>113</v>
      </c>
      <c r="B62" s="2" t="s">
        <v>114</v>
      </c>
      <c r="C62" s="87">
        <f>+FACTURACIÓN!C61+FACTURACIÓN!D61+FACTURACIÓN!E61-'C&amp;A'!H62+FACTURACIÓN!F61+FACTURACIÓN!G61</f>
        <v>163.73299727735457</v>
      </c>
      <c r="D62" s="11">
        <f t="shared" si="0"/>
        <v>163.73299727735457</v>
      </c>
      <c r="E62" s="12">
        <f>+FACTURACIÓN!H61</f>
        <v>0</v>
      </c>
      <c r="F62" s="12">
        <f>+FACTURACIÓN!L61</f>
        <v>0</v>
      </c>
      <c r="G62" s="87">
        <f>+FACTURACIÓN!BM61</f>
        <v>0</v>
      </c>
      <c r="H62" s="87">
        <f>+FACTURACIÓN!J61</f>
        <v>0</v>
      </c>
      <c r="I62" s="143">
        <v>54</v>
      </c>
      <c r="J62" s="87">
        <f>+FACTURACIÓN!I61</f>
        <v>0</v>
      </c>
      <c r="K62" s="87">
        <f t="shared" si="1"/>
        <v>54</v>
      </c>
      <c r="L62" s="54">
        <f t="shared" si="3"/>
        <v>109.73299727735457</v>
      </c>
      <c r="M62" s="28"/>
      <c r="N62" s="63" t="s">
        <v>113</v>
      </c>
      <c r="O62" s="61" t="s">
        <v>114</v>
      </c>
      <c r="P62" s="28"/>
      <c r="Q62" s="28"/>
      <c r="R62" s="28"/>
    </row>
    <row r="63" spans="1:18" ht="11.25" x14ac:dyDescent="0.2">
      <c r="A63" s="3" t="s">
        <v>115</v>
      </c>
      <c r="B63" s="2" t="s">
        <v>116</v>
      </c>
      <c r="C63" s="87">
        <f>+FACTURACIÓN!C62+FACTURACIÓN!D62+FACTURACIÓN!E62-'C&amp;A'!H63+FACTURACIÓN!F62+FACTURACIÓN!G62</f>
        <v>1187.5787308132424</v>
      </c>
      <c r="D63" s="11">
        <f t="shared" si="0"/>
        <v>1187.5787308132424</v>
      </c>
      <c r="E63" s="12">
        <f>+FACTURACIÓN!H62</f>
        <v>0</v>
      </c>
      <c r="F63" s="12">
        <f>+FACTURACIÓN!L62</f>
        <v>335.19</v>
      </c>
      <c r="G63" s="87">
        <f>+FACTURACIÓN!BM62</f>
        <v>0</v>
      </c>
      <c r="H63" s="87">
        <f>+FACTURACIÓN!J62</f>
        <v>0</v>
      </c>
      <c r="I63" s="143"/>
      <c r="J63" s="87">
        <f>+FACTURACIÓN!I62</f>
        <v>0</v>
      </c>
      <c r="K63" s="87">
        <f t="shared" si="1"/>
        <v>335.19</v>
      </c>
      <c r="L63" s="54">
        <f t="shared" si="3"/>
        <v>852.38873081324232</v>
      </c>
      <c r="M63" s="28"/>
      <c r="N63" s="63" t="s">
        <v>115</v>
      </c>
      <c r="O63" s="61" t="s">
        <v>116</v>
      </c>
      <c r="P63" s="28"/>
      <c r="Q63" s="28"/>
      <c r="R63" s="28"/>
    </row>
    <row r="64" spans="1:18" ht="11.25" x14ac:dyDescent="0.2">
      <c r="A64" s="3" t="s">
        <v>117</v>
      </c>
      <c r="B64" s="2" t="s">
        <v>118</v>
      </c>
      <c r="C64" s="87">
        <f>+FACTURACIÓN!C63+FACTURACIÓN!D63+FACTURACIÓN!E63-'C&amp;A'!H64+FACTURACIÓN!F63+FACTURACIÓN!G63</f>
        <v>1163.2787308132426</v>
      </c>
      <c r="D64" s="11">
        <f>SUM(C64)</f>
        <v>1163.2787308132426</v>
      </c>
      <c r="E64" s="12">
        <f>+FACTURACIÓN!H63</f>
        <v>0</v>
      </c>
      <c r="F64" s="12">
        <f>+FACTURACIÓN!L63</f>
        <v>303.79000000000002</v>
      </c>
      <c r="G64" s="87">
        <f>+FACTURACIÓN!BM63</f>
        <v>0</v>
      </c>
      <c r="H64" s="87">
        <f>+FACTURACIÓN!J63</f>
        <v>0</v>
      </c>
      <c r="I64" s="143"/>
      <c r="J64" s="87">
        <f>+FACTURACIÓN!I63</f>
        <v>0</v>
      </c>
      <c r="K64" s="87">
        <f>SUM(E64:J64)</f>
        <v>303.79000000000002</v>
      </c>
      <c r="L64" s="54">
        <f>+D64-K64</f>
        <v>859.48873081324268</v>
      </c>
      <c r="M64" s="28"/>
      <c r="N64" s="63" t="s">
        <v>117</v>
      </c>
      <c r="O64" s="61" t="s">
        <v>118</v>
      </c>
      <c r="P64" s="28"/>
      <c r="Q64" s="28"/>
      <c r="R64" s="28"/>
    </row>
    <row r="65" spans="1:18" ht="14.25" x14ac:dyDescent="0.2">
      <c r="A65" s="28"/>
      <c r="B65" s="28"/>
      <c r="C65" s="28"/>
      <c r="D65" s="28"/>
      <c r="E65" s="12"/>
      <c r="F65" s="28"/>
      <c r="G65" s="28"/>
      <c r="H65" s="28"/>
      <c r="J65" s="28"/>
      <c r="K65" s="28"/>
      <c r="L65" s="28"/>
      <c r="M65" s="30"/>
      <c r="N65" s="30"/>
      <c r="O65" s="30"/>
      <c r="P65" s="30"/>
      <c r="Q65" s="30"/>
      <c r="R65" s="30"/>
    </row>
    <row r="66" spans="1:18" ht="11.25" x14ac:dyDescent="0.2">
      <c r="A66" s="28"/>
      <c r="B66" s="28"/>
      <c r="C66" s="28"/>
      <c r="D66" s="28"/>
      <c r="E66" s="28"/>
      <c r="F66" s="28"/>
      <c r="G66" s="28"/>
      <c r="H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1.25" x14ac:dyDescent="0.2">
      <c r="A67" s="13"/>
      <c r="B67" s="6"/>
      <c r="C67" s="6" t="s">
        <v>119</v>
      </c>
      <c r="D67" s="6" t="s">
        <v>119</v>
      </c>
      <c r="E67" s="6" t="s">
        <v>119</v>
      </c>
      <c r="F67" s="6" t="s">
        <v>119</v>
      </c>
      <c r="G67" s="6" t="s">
        <v>119</v>
      </c>
      <c r="H67" s="6" t="s">
        <v>119</v>
      </c>
      <c r="I67" s="144" t="s">
        <v>119</v>
      </c>
      <c r="J67" s="144" t="s">
        <v>119</v>
      </c>
      <c r="K67" s="144" t="s">
        <v>119</v>
      </c>
      <c r="L67" s="6" t="s">
        <v>119</v>
      </c>
      <c r="M67" s="28"/>
      <c r="N67" s="28"/>
      <c r="O67" s="28"/>
      <c r="P67" s="28"/>
      <c r="Q67" s="28"/>
      <c r="R67" s="28"/>
    </row>
    <row r="68" spans="1:18" ht="11.25" x14ac:dyDescent="0.2">
      <c r="A68" s="44" t="s">
        <v>120</v>
      </c>
      <c r="B68" s="2" t="s">
        <v>121</v>
      </c>
      <c r="C68" s="45">
        <f>SUM(C10:C64)</f>
        <v>156129.95993411721</v>
      </c>
      <c r="D68" s="45">
        <f t="shared" ref="D68:L68" si="4">SUM(D10:D64)</f>
        <v>156129.95993411721</v>
      </c>
      <c r="E68" s="45">
        <f t="shared" si="4"/>
        <v>696.56</v>
      </c>
      <c r="F68" s="45">
        <f t="shared" si="4"/>
        <v>10740.55</v>
      </c>
      <c r="G68" s="45">
        <f t="shared" si="4"/>
        <v>10524.634</v>
      </c>
      <c r="H68" s="45">
        <f t="shared" si="4"/>
        <v>366.66666666666669</v>
      </c>
      <c r="I68" s="45">
        <f t="shared" si="4"/>
        <v>3129.6800000000003</v>
      </c>
      <c r="J68" s="45">
        <f t="shared" si="4"/>
        <v>295.72000000000003</v>
      </c>
      <c r="K68" s="45">
        <f t="shared" si="4"/>
        <v>25753.810666666664</v>
      </c>
      <c r="L68" s="45">
        <f t="shared" si="4"/>
        <v>130376.14926745054</v>
      </c>
      <c r="M68" s="28"/>
      <c r="N68" s="28"/>
      <c r="O68" s="28"/>
      <c r="P68" s="28"/>
      <c r="Q68" s="28"/>
      <c r="R68" s="28"/>
    </row>
    <row r="69" spans="1:18" ht="11.25" x14ac:dyDescent="0.2">
      <c r="A69" s="28"/>
      <c r="B69" s="28"/>
      <c r="C69" s="28"/>
      <c r="D69" s="28"/>
      <c r="E69" s="28"/>
      <c r="F69" s="28"/>
      <c r="G69" s="28"/>
      <c r="H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s="6" customFormat="1" x14ac:dyDescent="0.25">
      <c r="A70"/>
      <c r="B70"/>
      <c r="C70" s="2" t="s">
        <v>121</v>
      </c>
      <c r="D70" s="2" t="s">
        <v>121</v>
      </c>
      <c r="E70" s="2" t="s">
        <v>121</v>
      </c>
      <c r="F70" s="2" t="s">
        <v>121</v>
      </c>
      <c r="G70" s="2"/>
      <c r="H70" s="85"/>
      <c r="I70" s="145"/>
      <c r="J70" s="85"/>
      <c r="K70" s="2" t="s">
        <v>121</v>
      </c>
      <c r="L70" s="28"/>
      <c r="M70" s="28"/>
      <c r="N70" s="28"/>
      <c r="O70" s="28"/>
      <c r="P70" s="28"/>
      <c r="Q70" s="28"/>
      <c r="R70" s="28"/>
    </row>
    <row r="71" spans="1:18" s="1" customFormat="1" ht="14.25" x14ac:dyDescent="0.2">
      <c r="A71" s="3" t="s">
        <v>121</v>
      </c>
      <c r="B71" s="2" t="s">
        <v>121</v>
      </c>
      <c r="C71" s="14"/>
      <c r="D71" s="14"/>
      <c r="E71" s="14"/>
      <c r="F71" s="14"/>
      <c r="G71" s="14"/>
      <c r="H71" s="14"/>
      <c r="I71" s="146"/>
      <c r="J71" s="14"/>
      <c r="K71" s="14"/>
      <c r="L71" s="28"/>
      <c r="M71" s="28"/>
      <c r="N71" s="28"/>
      <c r="O71" s="28"/>
      <c r="P71" s="28"/>
      <c r="Q71" s="28"/>
      <c r="R71" s="28"/>
    </row>
    <row r="72" spans="1:18" ht="11.25" x14ac:dyDescent="0.2">
      <c r="B72" s="28"/>
      <c r="C72" s="28"/>
      <c r="D72" s="28"/>
      <c r="E72" s="28"/>
      <c r="F72" s="28"/>
      <c r="G72" s="28"/>
      <c r="H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1:18" ht="11.25" x14ac:dyDescent="0.2">
      <c r="D73" s="28"/>
      <c r="E73" s="28"/>
      <c r="F73" s="28"/>
      <c r="G73" s="28"/>
      <c r="H73" s="28"/>
      <c r="J73" s="28"/>
      <c r="K73" s="28"/>
      <c r="L73" s="28"/>
      <c r="M73" s="28"/>
      <c r="N73" s="28"/>
      <c r="O73" s="28"/>
      <c r="P73" s="28"/>
      <c r="Q73" s="28"/>
      <c r="R73" s="28"/>
    </row>
    <row r="74" spans="1:18" ht="11.25" x14ac:dyDescent="0.2">
      <c r="A74" s="86" t="s">
        <v>175</v>
      </c>
      <c r="B74" s="85" t="s">
        <v>32</v>
      </c>
      <c r="C74" s="87" t="e">
        <f>+#REF!-'C&amp;A'!H127+E74</f>
        <v>#REF!</v>
      </c>
      <c r="D74" s="87" t="e">
        <f t="shared" ref="D74" si="5">SUM(C74)</f>
        <v>#REF!</v>
      </c>
      <c r="E74" s="12" t="e">
        <f>-#REF!</f>
        <v>#REF!</v>
      </c>
      <c r="F74" s="12" t="e">
        <f>+#REF!</f>
        <v>#REF!</v>
      </c>
      <c r="G74" s="87">
        <v>0</v>
      </c>
      <c r="H74" s="87"/>
      <c r="I74" s="143"/>
      <c r="J74" s="87"/>
      <c r="K74" s="87" t="e">
        <f t="shared" ref="K74" si="6">SUM(E74:G74)</f>
        <v>#REF!</v>
      </c>
      <c r="L74" s="54" t="e">
        <f t="shared" ref="L74" si="7">+D74-K74</f>
        <v>#REF!</v>
      </c>
      <c r="M74" s="28"/>
      <c r="N74" s="28"/>
      <c r="O74" s="28"/>
      <c r="P74" s="28"/>
      <c r="Q74" s="28"/>
      <c r="R74" s="28"/>
    </row>
    <row r="75" spans="1:18" ht="11.25" x14ac:dyDescent="0.2">
      <c r="L75" s="28"/>
      <c r="M75" s="28"/>
      <c r="N75" s="28"/>
      <c r="O75" s="28"/>
      <c r="P75" s="28"/>
      <c r="Q75" s="28"/>
      <c r="R75" s="28"/>
    </row>
    <row r="76" spans="1:18" ht="11.25" x14ac:dyDescent="0.2">
      <c r="L76" s="28"/>
      <c r="M76" s="28"/>
      <c r="N76" s="28"/>
      <c r="O76" s="28"/>
      <c r="P76" s="28"/>
      <c r="Q76" s="28"/>
      <c r="R76" s="28"/>
    </row>
    <row r="77" spans="1:18" x14ac:dyDescent="0.25">
      <c r="M77" s="28"/>
      <c r="N77" s="28"/>
      <c r="O77" s="28"/>
      <c r="P77" s="28"/>
      <c r="Q77" s="28"/>
      <c r="R77" s="28"/>
    </row>
  </sheetData>
  <pageMargins left="0.7" right="0.7" top="0.75" bottom="0.75" header="0.3" footer="0.3"/>
  <pageSetup paperSize="1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C68" sqref="C68"/>
    </sheetView>
  </sheetViews>
  <sheetFormatPr baseColWidth="10" defaultRowHeight="11.25" x14ac:dyDescent="0.2"/>
  <cols>
    <col min="1" max="1" width="12.28515625" style="22" customWidth="1"/>
    <col min="2" max="2" width="30.7109375" style="18" customWidth="1"/>
    <col min="3" max="3" width="14" style="48" bestFit="1" customWidth="1"/>
    <col min="4" max="4" width="0" style="18" hidden="1" customWidth="1"/>
    <col min="5" max="5" width="14.5703125" style="18" hidden="1" customWidth="1"/>
    <col min="6" max="7" width="11.42578125" style="18" hidden="1" customWidth="1"/>
    <col min="8" max="16384" width="11.42578125" style="18"/>
  </cols>
  <sheetData>
    <row r="1" spans="1:7" ht="18" customHeight="1" x14ac:dyDescent="0.2">
      <c r="A1" s="17" t="s">
        <v>0</v>
      </c>
      <c r="B1" s="56" t="s">
        <v>121</v>
      </c>
    </row>
    <row r="2" spans="1:7" ht="24.95" customHeight="1" x14ac:dyDescent="0.2">
      <c r="A2" s="19" t="s">
        <v>1</v>
      </c>
      <c r="B2" s="20" t="s">
        <v>2</v>
      </c>
    </row>
    <row r="3" spans="1:7" ht="15" x14ac:dyDescent="0.2">
      <c r="B3" s="58" t="s">
        <v>3</v>
      </c>
    </row>
    <row r="4" spans="1:7" ht="12.75" x14ac:dyDescent="0.2">
      <c r="B4" s="23" t="s">
        <v>152</v>
      </c>
    </row>
    <row r="5" spans="1:7" x14ac:dyDescent="0.2">
      <c r="B5" s="24" t="s">
        <v>4</v>
      </c>
    </row>
    <row r="6" spans="1:7" x14ac:dyDescent="0.2">
      <c r="B6" s="24" t="s">
        <v>5</v>
      </c>
    </row>
    <row r="8" spans="1:7" s="34" customFormat="1" ht="12.75" thickBot="1" x14ac:dyDescent="0.25">
      <c r="A8" s="33" t="s">
        <v>6</v>
      </c>
      <c r="B8" s="25" t="s">
        <v>7</v>
      </c>
      <c r="C8" s="70"/>
      <c r="E8" s="72" t="s">
        <v>172</v>
      </c>
    </row>
    <row r="9" spans="1:7" ht="23.25" hidden="1" thickTop="1" x14ac:dyDescent="0.2">
      <c r="A9" s="26" t="s">
        <v>14</v>
      </c>
      <c r="C9" s="48" t="s">
        <v>171</v>
      </c>
      <c r="E9" s="59" t="s">
        <v>169</v>
      </c>
      <c r="F9" s="28"/>
    </row>
    <row r="10" spans="1:7" s="28" customFormat="1" hidden="1" x14ac:dyDescent="0.2">
      <c r="A10" s="27" t="s">
        <v>17</v>
      </c>
      <c r="B10" s="28" t="s">
        <v>18</v>
      </c>
      <c r="C10" s="50">
        <v>2299.0000000000005</v>
      </c>
      <c r="E10" s="55">
        <v>2299</v>
      </c>
      <c r="G10" s="55">
        <f>+C10-E10</f>
        <v>0</v>
      </c>
    </row>
    <row r="11" spans="1:7" s="28" customFormat="1" hidden="1" x14ac:dyDescent="0.2">
      <c r="A11" s="27" t="s">
        <v>19</v>
      </c>
      <c r="B11" s="28" t="s">
        <v>20</v>
      </c>
      <c r="C11" s="50">
        <v>2.8699999999998909</v>
      </c>
      <c r="E11" s="55">
        <v>48</v>
      </c>
      <c r="G11" s="55">
        <f t="shared" ref="G11:G43" si="0">+C11-E11</f>
        <v>-45.130000000000109</v>
      </c>
    </row>
    <row r="12" spans="1:7" s="28" customFormat="1" hidden="1" x14ac:dyDescent="0.2">
      <c r="A12" s="27" t="s">
        <v>21</v>
      </c>
      <c r="B12" s="28" t="s">
        <v>22</v>
      </c>
      <c r="C12" s="50">
        <v>2067.2999999999993</v>
      </c>
      <c r="E12" s="55">
        <v>2297</v>
      </c>
      <c r="G12" s="55">
        <f t="shared" si="0"/>
        <v>-229.70000000000073</v>
      </c>
    </row>
    <row r="13" spans="1:7" s="28" customFormat="1" hidden="1" x14ac:dyDescent="0.2">
      <c r="A13" s="27" t="s">
        <v>23</v>
      </c>
      <c r="B13" s="28" t="s">
        <v>24</v>
      </c>
      <c r="C13" s="50">
        <v>1046.0000000000009</v>
      </c>
      <c r="E13" s="55">
        <v>1046</v>
      </c>
      <c r="G13" s="55">
        <f t="shared" si="0"/>
        <v>0</v>
      </c>
    </row>
    <row r="14" spans="1:7" s="28" customFormat="1" hidden="1" x14ac:dyDescent="0.2">
      <c r="A14" s="27" t="s">
        <v>25</v>
      </c>
      <c r="B14" s="28" t="s">
        <v>26</v>
      </c>
      <c r="C14" s="50">
        <v>1129.3959999999997</v>
      </c>
      <c r="E14" s="55">
        <v>1295</v>
      </c>
      <c r="G14" s="55">
        <f t="shared" si="0"/>
        <v>-165.60400000000027</v>
      </c>
    </row>
    <row r="15" spans="1:7" s="28" customFormat="1" hidden="1" x14ac:dyDescent="0.2">
      <c r="A15" s="27" t="s">
        <v>27</v>
      </c>
      <c r="B15" s="28" t="s">
        <v>28</v>
      </c>
      <c r="C15" s="50">
        <v>1164.6000000000004</v>
      </c>
      <c r="E15" s="55">
        <v>1294</v>
      </c>
      <c r="G15" s="55">
        <f t="shared" si="0"/>
        <v>-129.39999999999964</v>
      </c>
    </row>
    <row r="16" spans="1:7" s="28" customFormat="1" hidden="1" x14ac:dyDescent="0.2">
      <c r="A16" s="27" t="s">
        <v>29</v>
      </c>
      <c r="B16" s="28" t="s">
        <v>30</v>
      </c>
      <c r="C16" s="50">
        <v>4507.6719999999987</v>
      </c>
      <c r="E16" s="55">
        <v>5300</v>
      </c>
      <c r="G16" s="55">
        <f t="shared" si="0"/>
        <v>-792.32800000000134</v>
      </c>
    </row>
    <row r="17" spans="1:7" s="28" customFormat="1" hidden="1" x14ac:dyDescent="0.2">
      <c r="A17" s="27" t="s">
        <v>31</v>
      </c>
      <c r="B17" s="28" t="s">
        <v>32</v>
      </c>
      <c r="C17" s="50">
        <v>1042.0000000000002</v>
      </c>
      <c r="E17" s="55">
        <v>1042</v>
      </c>
      <c r="G17" s="55">
        <f t="shared" si="0"/>
        <v>0</v>
      </c>
    </row>
    <row r="18" spans="1:7" s="28" customFormat="1" hidden="1" x14ac:dyDescent="0.2">
      <c r="A18" s="27" t="s">
        <v>33</v>
      </c>
      <c r="B18" s="28" t="s">
        <v>34</v>
      </c>
      <c r="C18" s="50">
        <v>145.86999999999989</v>
      </c>
      <c r="E18" s="55">
        <v>191</v>
      </c>
      <c r="G18" s="55">
        <f t="shared" si="0"/>
        <v>-45.130000000000109</v>
      </c>
    </row>
    <row r="19" spans="1:7" s="28" customFormat="1" hidden="1" x14ac:dyDescent="0.2">
      <c r="A19" s="27" t="s">
        <v>35</v>
      </c>
      <c r="B19" s="28" t="s">
        <v>36</v>
      </c>
      <c r="C19" s="50">
        <v>144.86999999999989</v>
      </c>
      <c r="E19" s="55">
        <v>190</v>
      </c>
      <c r="G19" s="55">
        <f t="shared" si="0"/>
        <v>-45.130000000000109</v>
      </c>
    </row>
    <row r="20" spans="1:7" s="28" customFormat="1" hidden="1" x14ac:dyDescent="0.2">
      <c r="A20" s="27" t="s">
        <v>37</v>
      </c>
      <c r="B20" s="28" t="s">
        <v>38</v>
      </c>
      <c r="C20" s="50">
        <v>1288.9999999999998</v>
      </c>
      <c r="E20" s="55">
        <v>1289</v>
      </c>
      <c r="G20" s="55">
        <f t="shared" si="0"/>
        <v>0</v>
      </c>
    </row>
    <row r="21" spans="1:7" s="28" customFormat="1" hidden="1" x14ac:dyDescent="0.2">
      <c r="A21" s="27" t="s">
        <v>39</v>
      </c>
      <c r="B21" s="28" t="s">
        <v>40</v>
      </c>
      <c r="C21" s="50">
        <v>966.46200000000044</v>
      </c>
      <c r="E21" s="55">
        <v>1538</v>
      </c>
      <c r="G21" s="55">
        <f t="shared" si="0"/>
        <v>-571.53799999999956</v>
      </c>
    </row>
    <row r="22" spans="1:7" s="28" customFormat="1" hidden="1" x14ac:dyDescent="0.2">
      <c r="A22" s="27" t="s">
        <v>41</v>
      </c>
      <c r="B22" s="28" t="s">
        <v>42</v>
      </c>
      <c r="C22" s="50">
        <v>720.97000000000025</v>
      </c>
      <c r="E22" s="55">
        <v>1287</v>
      </c>
      <c r="G22" s="55">
        <f t="shared" si="0"/>
        <v>-566.02999999999975</v>
      </c>
    </row>
    <row r="23" spans="1:7" s="28" customFormat="1" hidden="1" x14ac:dyDescent="0.2">
      <c r="A23" s="27" t="s">
        <v>51</v>
      </c>
      <c r="B23" s="28" t="s">
        <v>52</v>
      </c>
      <c r="C23" s="50">
        <v>1281</v>
      </c>
      <c r="E23" s="55">
        <v>1281</v>
      </c>
      <c r="G23" s="55">
        <f t="shared" si="0"/>
        <v>0</v>
      </c>
    </row>
    <row r="24" spans="1:7" s="28" customFormat="1" hidden="1" x14ac:dyDescent="0.2">
      <c r="A24" s="27" t="s">
        <v>53</v>
      </c>
      <c r="B24" s="28" t="s">
        <v>54</v>
      </c>
      <c r="C24" s="50">
        <v>780</v>
      </c>
      <c r="E24" s="55">
        <v>780</v>
      </c>
      <c r="G24" s="55">
        <f t="shared" si="0"/>
        <v>0</v>
      </c>
    </row>
    <row r="25" spans="1:7" s="28" customFormat="1" hidden="1" x14ac:dyDescent="0.2">
      <c r="A25" s="27" t="s">
        <v>57</v>
      </c>
      <c r="B25" s="28" t="s">
        <v>58</v>
      </c>
      <c r="C25" s="50">
        <v>1027.0000000000009</v>
      </c>
      <c r="E25" s="55">
        <v>1027</v>
      </c>
      <c r="G25" s="55">
        <f t="shared" si="0"/>
        <v>0</v>
      </c>
    </row>
    <row r="26" spans="1:7" s="28" customFormat="1" hidden="1" x14ac:dyDescent="0.2">
      <c r="A26" s="27" t="s">
        <v>59</v>
      </c>
      <c r="B26" s="28" t="s">
        <v>60</v>
      </c>
      <c r="C26" s="50">
        <v>776</v>
      </c>
      <c r="E26" s="55">
        <v>776</v>
      </c>
      <c r="G26" s="55">
        <f t="shared" si="0"/>
        <v>0</v>
      </c>
    </row>
    <row r="27" spans="1:7" s="28" customFormat="1" hidden="1" x14ac:dyDescent="0.2">
      <c r="A27" s="27" t="s">
        <v>63</v>
      </c>
      <c r="B27" s="28" t="s">
        <v>64</v>
      </c>
      <c r="C27" s="50">
        <v>728.86999999999989</v>
      </c>
      <c r="D27" s="55"/>
      <c r="E27" s="55">
        <v>774</v>
      </c>
      <c r="G27" s="55">
        <f t="shared" si="0"/>
        <v>-45.130000000000109</v>
      </c>
    </row>
    <row r="28" spans="1:7" s="28" customFormat="1" hidden="1" x14ac:dyDescent="0.2">
      <c r="A28" s="27" t="s">
        <v>67</v>
      </c>
      <c r="B28" s="28" t="s">
        <v>68</v>
      </c>
      <c r="C28" s="50">
        <v>433.69599999999809</v>
      </c>
      <c r="E28" s="55">
        <v>522</v>
      </c>
      <c r="G28" s="55">
        <f t="shared" si="0"/>
        <v>-88.304000000001906</v>
      </c>
    </row>
    <row r="29" spans="1:7" s="28" customFormat="1" hidden="1" x14ac:dyDescent="0.2">
      <c r="A29" s="27" t="s">
        <v>69</v>
      </c>
      <c r="B29" s="28" t="s">
        <v>70</v>
      </c>
      <c r="C29" s="50">
        <v>1521</v>
      </c>
      <c r="E29" s="55">
        <v>1521</v>
      </c>
      <c r="G29" s="55">
        <f t="shared" si="0"/>
        <v>0</v>
      </c>
    </row>
    <row r="30" spans="1:7" s="28" customFormat="1" hidden="1" x14ac:dyDescent="0.2">
      <c r="A30" s="27" t="s">
        <v>71</v>
      </c>
      <c r="B30" s="28" t="s">
        <v>72</v>
      </c>
      <c r="C30" s="50">
        <v>2006.8959999999934</v>
      </c>
      <c r="E30" s="55">
        <v>2270</v>
      </c>
      <c r="G30" s="55">
        <f t="shared" si="0"/>
        <v>-263.10400000000664</v>
      </c>
    </row>
    <row r="31" spans="1:7" s="28" customFormat="1" hidden="1" x14ac:dyDescent="0.2">
      <c r="A31" s="27" t="s">
        <v>73</v>
      </c>
      <c r="B31" s="28" t="s">
        <v>74</v>
      </c>
      <c r="C31" s="50">
        <v>723.86999999999944</v>
      </c>
      <c r="E31" s="55">
        <v>769</v>
      </c>
      <c r="G31" s="55">
        <f t="shared" si="0"/>
        <v>-45.130000000000564</v>
      </c>
    </row>
    <row r="32" spans="1:7" s="28" customFormat="1" hidden="1" x14ac:dyDescent="0.2">
      <c r="A32" s="27" t="s">
        <v>75</v>
      </c>
      <c r="B32" s="28" t="s">
        <v>76</v>
      </c>
      <c r="C32" s="50">
        <v>471.86999999999989</v>
      </c>
      <c r="E32" s="55">
        <v>517</v>
      </c>
      <c r="G32" s="55">
        <f t="shared" si="0"/>
        <v>-45.130000000000109</v>
      </c>
    </row>
    <row r="33" spans="1:7" s="28" customFormat="1" hidden="1" x14ac:dyDescent="0.2">
      <c r="A33" s="27" t="s">
        <v>79</v>
      </c>
      <c r="B33" s="28" t="s">
        <v>80</v>
      </c>
      <c r="C33" s="50">
        <v>2038.5</v>
      </c>
      <c r="E33" s="55">
        <v>2265</v>
      </c>
      <c r="G33" s="55">
        <f t="shared" si="0"/>
        <v>-226.5</v>
      </c>
    </row>
    <row r="34" spans="1:7" s="28" customFormat="1" hidden="1" x14ac:dyDescent="0.2">
      <c r="A34" s="27" t="s">
        <v>81</v>
      </c>
      <c r="B34" s="28" t="s">
        <v>82</v>
      </c>
      <c r="C34" s="50">
        <v>2037.5999999999985</v>
      </c>
      <c r="E34" s="55">
        <v>2264</v>
      </c>
      <c r="G34" s="55">
        <f t="shared" si="0"/>
        <v>-226.40000000000146</v>
      </c>
    </row>
    <row r="35" spans="1:7" s="28" customFormat="1" hidden="1" x14ac:dyDescent="0.2">
      <c r="A35" s="27" t="s">
        <v>87</v>
      </c>
      <c r="B35" s="28" t="s">
        <v>88</v>
      </c>
      <c r="C35" s="50">
        <v>623.10000000000036</v>
      </c>
      <c r="E35" s="55">
        <v>759</v>
      </c>
      <c r="G35" s="55">
        <f t="shared" si="0"/>
        <v>-135.89999999999964</v>
      </c>
    </row>
    <row r="36" spans="1:7" s="28" customFormat="1" hidden="1" x14ac:dyDescent="0.2">
      <c r="A36" s="27" t="s">
        <v>93</v>
      </c>
      <c r="B36" s="28" t="s">
        <v>94</v>
      </c>
      <c r="C36" s="50">
        <v>608.19200000000001</v>
      </c>
      <c r="E36" s="55">
        <v>756</v>
      </c>
      <c r="G36" s="55">
        <f t="shared" si="0"/>
        <v>-147.80799999999999</v>
      </c>
    </row>
    <row r="37" spans="1:7" s="28" customFormat="1" hidden="1" x14ac:dyDescent="0.2">
      <c r="A37" s="27" t="s">
        <v>95</v>
      </c>
      <c r="B37" s="28" t="s">
        <v>96</v>
      </c>
      <c r="C37" s="50">
        <v>755</v>
      </c>
      <c r="E37" s="55">
        <v>755</v>
      </c>
      <c r="G37" s="55">
        <f t="shared" si="0"/>
        <v>0</v>
      </c>
    </row>
    <row r="38" spans="1:7" s="28" customFormat="1" hidden="1" x14ac:dyDescent="0.2">
      <c r="A38" s="27" t="s">
        <v>101</v>
      </c>
      <c r="B38" s="28" t="s">
        <v>102</v>
      </c>
      <c r="C38" s="50">
        <v>206.40000000000055</v>
      </c>
      <c r="E38" s="55">
        <v>752</v>
      </c>
      <c r="G38" s="55">
        <f t="shared" si="0"/>
        <v>-545.59999999999945</v>
      </c>
    </row>
    <row r="39" spans="1:7" s="28" customFormat="1" hidden="1" x14ac:dyDescent="0.2">
      <c r="A39" s="27" t="s">
        <v>103</v>
      </c>
      <c r="B39" s="28" t="s">
        <v>104</v>
      </c>
      <c r="C39" s="50">
        <v>1852.0759999999973</v>
      </c>
      <c r="E39" s="55">
        <v>2251</v>
      </c>
      <c r="G39" s="55">
        <f t="shared" si="0"/>
        <v>-398.92400000000271</v>
      </c>
    </row>
    <row r="40" spans="1:7" s="28" customFormat="1" hidden="1" x14ac:dyDescent="0.2">
      <c r="A40" s="27" t="s">
        <v>105</v>
      </c>
      <c r="B40" s="28" t="s">
        <v>106</v>
      </c>
      <c r="C40" s="50">
        <v>9999.3580000000002</v>
      </c>
      <c r="E40" s="55">
        <v>11300</v>
      </c>
      <c r="G40" s="55">
        <f>+C40-E40</f>
        <v>-1300.6419999999998</v>
      </c>
    </row>
    <row r="41" spans="1:7" s="28" customFormat="1" hidden="1" x14ac:dyDescent="0.2">
      <c r="A41" s="27" t="s">
        <v>107</v>
      </c>
      <c r="B41" s="28" t="s">
        <v>108</v>
      </c>
      <c r="C41" s="50">
        <v>1987.996000000001</v>
      </c>
      <c r="E41" s="55">
        <v>2249</v>
      </c>
      <c r="G41" s="55">
        <f t="shared" si="0"/>
        <v>-261.003999999999</v>
      </c>
    </row>
    <row r="42" spans="1:7" s="28" customFormat="1" hidden="1" x14ac:dyDescent="0.2">
      <c r="A42" s="27" t="s">
        <v>109</v>
      </c>
      <c r="B42" s="28" t="s">
        <v>110</v>
      </c>
      <c r="C42" s="50">
        <v>1312.0960000000005</v>
      </c>
      <c r="E42" s="55">
        <v>1498</v>
      </c>
      <c r="G42" s="55">
        <f t="shared" si="0"/>
        <v>-185.90399999999954</v>
      </c>
    </row>
    <row r="43" spans="1:7" s="28" customFormat="1" hidden="1" x14ac:dyDescent="0.2">
      <c r="A43" s="27" t="s">
        <v>115</v>
      </c>
      <c r="B43" s="28" t="s">
        <v>116</v>
      </c>
      <c r="C43" s="50">
        <v>995</v>
      </c>
      <c r="E43" s="55">
        <v>995</v>
      </c>
      <c r="G43" s="55">
        <f t="shared" si="0"/>
        <v>0</v>
      </c>
    </row>
    <row r="44" spans="1:7" s="28" customFormat="1" hidden="1" x14ac:dyDescent="0.2">
      <c r="A44" s="27"/>
      <c r="C44" s="50"/>
    </row>
    <row r="45" spans="1:7" s="28" customFormat="1" hidden="1" x14ac:dyDescent="0.2">
      <c r="A45" s="27"/>
      <c r="C45" s="50"/>
    </row>
    <row r="46" spans="1:7" s="28" customFormat="1" hidden="1" x14ac:dyDescent="0.2">
      <c r="A46" s="27" t="s">
        <v>121</v>
      </c>
      <c r="B46" s="28" t="s">
        <v>121</v>
      </c>
      <c r="C46" s="50"/>
    </row>
    <row r="47" spans="1:7" s="28" customFormat="1" ht="12" hidden="1" thickTop="1" x14ac:dyDescent="0.2">
      <c r="A47" s="27"/>
      <c r="C47" s="50"/>
    </row>
    <row r="48" spans="1:7" s="28" customFormat="1" ht="12" hidden="1" thickTop="1" x14ac:dyDescent="0.2">
      <c r="A48" s="27"/>
      <c r="C48" s="50"/>
    </row>
    <row r="49" spans="1:7" s="28" customFormat="1" hidden="1" x14ac:dyDescent="0.2">
      <c r="A49" s="27"/>
      <c r="C49" s="50"/>
    </row>
    <row r="50" spans="1:7" s="28" customFormat="1" hidden="1" x14ac:dyDescent="0.2">
      <c r="A50" s="27"/>
      <c r="C50" s="50"/>
    </row>
    <row r="51" spans="1:7" s="28" customFormat="1" ht="12" thickTop="1" x14ac:dyDescent="0.2">
      <c r="A51" s="27" t="s">
        <v>45</v>
      </c>
      <c r="B51" s="28" t="s">
        <v>46</v>
      </c>
      <c r="C51" s="71">
        <v>-15</v>
      </c>
      <c r="E51" s="60">
        <v>-15</v>
      </c>
      <c r="F51" s="28" t="s">
        <v>170</v>
      </c>
    </row>
    <row r="52" spans="1:7" s="28" customFormat="1" x14ac:dyDescent="0.2">
      <c r="A52" s="3" t="s">
        <v>163</v>
      </c>
      <c r="B52" s="28" t="s">
        <v>158</v>
      </c>
      <c r="C52" s="71">
        <v>-17.478000000000065</v>
      </c>
      <c r="E52" s="55">
        <v>500</v>
      </c>
      <c r="F52" s="28" t="s">
        <v>170</v>
      </c>
      <c r="G52" s="28" t="s">
        <v>173</v>
      </c>
    </row>
    <row r="53" spans="1:7" s="28" customFormat="1" x14ac:dyDescent="0.2">
      <c r="A53" s="27" t="s">
        <v>47</v>
      </c>
      <c r="B53" s="28" t="s">
        <v>48</v>
      </c>
      <c r="C53" s="71">
        <v>-62.130000000000109</v>
      </c>
      <c r="E53" s="60">
        <v>-17</v>
      </c>
      <c r="F53" s="28" t="s">
        <v>170</v>
      </c>
    </row>
    <row r="54" spans="1:7" s="61" customFormat="1" x14ac:dyDescent="0.2">
      <c r="A54" s="63" t="s">
        <v>49</v>
      </c>
      <c r="B54" s="61" t="s">
        <v>50</v>
      </c>
      <c r="C54" s="71">
        <v>-2383.424</v>
      </c>
      <c r="E54" s="55">
        <v>0</v>
      </c>
      <c r="F54" s="28" t="s">
        <v>170</v>
      </c>
    </row>
    <row r="55" spans="1:7" s="28" customFormat="1" x14ac:dyDescent="0.2">
      <c r="A55" s="27" t="s">
        <v>55</v>
      </c>
      <c r="B55" s="28" t="s">
        <v>56</v>
      </c>
      <c r="C55" s="71">
        <v>-55.003999999999905</v>
      </c>
      <c r="E55" s="60">
        <v>-21</v>
      </c>
      <c r="F55" s="28" t="s">
        <v>170</v>
      </c>
    </row>
    <row r="56" spans="1:7" s="28" customFormat="1" x14ac:dyDescent="0.2">
      <c r="A56" s="27" t="s">
        <v>61</v>
      </c>
      <c r="B56" s="28" t="s">
        <v>62</v>
      </c>
      <c r="C56" s="71">
        <v>-25</v>
      </c>
      <c r="E56" s="60">
        <v>-25</v>
      </c>
      <c r="F56" s="28" t="s">
        <v>170</v>
      </c>
    </row>
    <row r="57" spans="1:7" s="28" customFormat="1" x14ac:dyDescent="0.2">
      <c r="A57" s="27" t="s">
        <v>65</v>
      </c>
      <c r="B57" s="28" t="s">
        <v>66</v>
      </c>
      <c r="C57" s="71">
        <v>-72.130000000000109</v>
      </c>
      <c r="E57" s="60">
        <v>-27</v>
      </c>
      <c r="F57" s="28" t="s">
        <v>170</v>
      </c>
    </row>
    <row r="58" spans="1:7" s="28" customFormat="1" x14ac:dyDescent="0.2">
      <c r="A58" s="27" t="s">
        <v>77</v>
      </c>
      <c r="B58" s="28" t="s">
        <v>78</v>
      </c>
      <c r="C58" s="71">
        <v>-136.81999999999994</v>
      </c>
      <c r="E58" s="71">
        <v>-136.81999999999994</v>
      </c>
      <c r="F58" s="28" t="s">
        <v>170</v>
      </c>
    </row>
    <row r="59" spans="1:7" s="28" customFormat="1" x14ac:dyDescent="0.2">
      <c r="A59" s="27" t="s">
        <v>83</v>
      </c>
      <c r="B59" s="28" t="s">
        <v>84</v>
      </c>
      <c r="C59" s="71">
        <v>-36.10399999999936</v>
      </c>
      <c r="E59" s="55">
        <v>0</v>
      </c>
      <c r="F59" s="28" t="s">
        <v>170</v>
      </c>
    </row>
    <row r="60" spans="1:7" s="28" customFormat="1" x14ac:dyDescent="0.2">
      <c r="A60" s="27" t="s">
        <v>89</v>
      </c>
      <c r="B60" s="28" t="s">
        <v>90</v>
      </c>
      <c r="C60" s="71">
        <v>-42</v>
      </c>
      <c r="E60" s="60">
        <v>-42</v>
      </c>
      <c r="F60" s="28" t="s">
        <v>170</v>
      </c>
    </row>
    <row r="61" spans="1:7" s="28" customFormat="1" x14ac:dyDescent="0.2">
      <c r="A61" s="27" t="s">
        <v>91</v>
      </c>
      <c r="B61" s="28" t="s">
        <v>92</v>
      </c>
      <c r="C61" s="71">
        <v>-38.699999999999818</v>
      </c>
      <c r="E61" s="60">
        <v>-43</v>
      </c>
      <c r="F61" s="28" t="s">
        <v>170</v>
      </c>
    </row>
    <row r="62" spans="1:7" s="28" customFormat="1" x14ac:dyDescent="0.2">
      <c r="A62" s="27" t="s">
        <v>97</v>
      </c>
      <c r="B62" s="28" t="s">
        <v>98</v>
      </c>
      <c r="C62" s="71">
        <v>-77.503999999999905</v>
      </c>
      <c r="E62" s="60">
        <v>-46</v>
      </c>
      <c r="F62" s="28" t="s">
        <v>170</v>
      </c>
    </row>
    <row r="63" spans="1:7" s="28" customFormat="1" x14ac:dyDescent="0.2">
      <c r="A63" s="27" t="s">
        <v>99</v>
      </c>
      <c r="B63" s="28" t="s">
        <v>100</v>
      </c>
      <c r="C63" s="71">
        <v>-78.404000000000451</v>
      </c>
      <c r="E63" s="60">
        <v>-47</v>
      </c>
      <c r="F63" s="28" t="s">
        <v>170</v>
      </c>
    </row>
    <row r="64" spans="1:7" s="28" customFormat="1" x14ac:dyDescent="0.2">
      <c r="A64" s="27" t="s">
        <v>111</v>
      </c>
      <c r="B64" s="28" t="s">
        <v>112</v>
      </c>
      <c r="C64" s="71">
        <v>-98.130000000000109</v>
      </c>
      <c r="E64" s="60">
        <v>-53</v>
      </c>
      <c r="F64" s="28" t="s">
        <v>170</v>
      </c>
    </row>
    <row r="65" spans="1:6" s="28" customFormat="1" x14ac:dyDescent="0.2">
      <c r="A65" s="27" t="s">
        <v>113</v>
      </c>
      <c r="B65" s="28" t="s">
        <v>114</v>
      </c>
      <c r="C65" s="71">
        <v>-54</v>
      </c>
      <c r="E65" s="60">
        <v>-54</v>
      </c>
      <c r="F65" s="28" t="s">
        <v>170</v>
      </c>
    </row>
    <row r="67" spans="1:6" x14ac:dyDescent="0.2">
      <c r="C67" s="48">
        <f>SUM(C51:C66)</f>
        <v>-3191.8279999999995</v>
      </c>
    </row>
    <row r="76" spans="1:6" ht="12" thickBot="1" x14ac:dyDescent="0.25">
      <c r="A76" s="33" t="s">
        <v>6</v>
      </c>
      <c r="B76" s="25" t="s">
        <v>7</v>
      </c>
      <c r="C76" s="25" t="s">
        <v>168</v>
      </c>
    </row>
    <row r="77" spans="1:6" ht="13.5" thickTop="1" x14ac:dyDescent="0.2">
      <c r="B77" s="79" t="s">
        <v>30</v>
      </c>
      <c r="C77" s="80">
        <v>4507.6719999999996</v>
      </c>
    </row>
    <row r="78" spans="1:6" ht="12.75" x14ac:dyDescent="0.2">
      <c r="B78" s="79" t="s">
        <v>106</v>
      </c>
      <c r="C78" s="80">
        <v>9999.3580000000002</v>
      </c>
    </row>
  </sheetData>
  <conditionalFormatting sqref="E10:E43 E51:E57 E59:E65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20" sqref="D20"/>
    </sheetView>
  </sheetViews>
  <sheetFormatPr baseColWidth="10" defaultRowHeight="15" x14ac:dyDescent="0.25"/>
  <sheetData>
    <row r="1" spans="1:7" x14ac:dyDescent="0.25">
      <c r="A1" s="184" t="s">
        <v>324</v>
      </c>
      <c r="B1" s="184"/>
      <c r="C1" s="185"/>
      <c r="D1" s="186"/>
      <c r="E1" s="186"/>
      <c r="F1" s="187"/>
      <c r="G1" s="187"/>
    </row>
    <row r="2" spans="1:7" x14ac:dyDescent="0.25">
      <c r="A2" s="184" t="s">
        <v>325</v>
      </c>
      <c r="B2" s="184"/>
      <c r="C2" s="185"/>
      <c r="D2" s="186"/>
      <c r="E2" s="186"/>
      <c r="F2" s="187"/>
      <c r="G2" s="187"/>
    </row>
    <row r="3" spans="1:7" x14ac:dyDescent="0.25">
      <c r="A3" s="184" t="s">
        <v>326</v>
      </c>
      <c r="B3" s="188" t="s">
        <v>330</v>
      </c>
      <c r="C3" s="185"/>
      <c r="D3" s="186"/>
      <c r="E3" s="186"/>
      <c r="F3" s="187"/>
      <c r="G3" s="187"/>
    </row>
    <row r="4" spans="1:7" x14ac:dyDescent="0.25">
      <c r="A4" s="185"/>
      <c r="B4" s="185"/>
      <c r="C4" s="185"/>
      <c r="D4" s="186"/>
      <c r="E4" s="186"/>
      <c r="F4" s="187"/>
      <c r="G4" s="187"/>
    </row>
    <row r="5" spans="1:7" x14ac:dyDescent="0.25">
      <c r="A5" s="185" t="s">
        <v>327</v>
      </c>
      <c r="B5" s="185" t="s">
        <v>328</v>
      </c>
      <c r="C5" s="185"/>
      <c r="D5" s="186"/>
      <c r="E5" s="186"/>
      <c r="F5" s="187"/>
      <c r="G5" s="187"/>
    </row>
    <row r="6" spans="1:7" x14ac:dyDescent="0.25">
      <c r="A6" s="186" t="s">
        <v>320</v>
      </c>
      <c r="B6" s="183">
        <v>40199.050000000003</v>
      </c>
      <c r="C6" s="186"/>
      <c r="D6" s="186"/>
      <c r="E6" s="186"/>
      <c r="F6" s="187"/>
      <c r="G6" s="187"/>
    </row>
    <row r="7" spans="1:7" x14ac:dyDescent="0.25">
      <c r="A7" s="186" t="s">
        <v>322</v>
      </c>
      <c r="B7" s="183"/>
      <c r="C7" s="186"/>
      <c r="D7" s="186"/>
      <c r="E7" s="186"/>
      <c r="F7" s="187"/>
      <c r="G7" s="187"/>
    </row>
    <row r="8" spans="1:7" x14ac:dyDescent="0.25">
      <c r="A8" s="186" t="s">
        <v>321</v>
      </c>
      <c r="B8" s="183">
        <v>4009.54</v>
      </c>
      <c r="C8" s="186"/>
      <c r="D8" s="186"/>
      <c r="E8" s="186"/>
      <c r="F8" s="187"/>
      <c r="G8" s="187"/>
    </row>
    <row r="9" spans="1:7" x14ac:dyDescent="0.25">
      <c r="A9" s="186" t="s">
        <v>319</v>
      </c>
      <c r="B9" s="183">
        <v>77440.34</v>
      </c>
      <c r="C9" s="186"/>
      <c r="D9" s="186"/>
      <c r="E9" s="186"/>
      <c r="F9" s="187"/>
      <c r="G9" s="187"/>
    </row>
    <row r="10" spans="1:7" x14ac:dyDescent="0.25">
      <c r="A10" s="186" t="s">
        <v>323</v>
      </c>
      <c r="B10" s="183">
        <v>6200.05</v>
      </c>
      <c r="C10" s="186"/>
      <c r="D10" s="186"/>
      <c r="E10" s="186"/>
      <c r="F10" s="187"/>
      <c r="G10" s="187"/>
    </row>
    <row r="11" spans="1:7" x14ac:dyDescent="0.25">
      <c r="A11" s="186" t="s">
        <v>329</v>
      </c>
      <c r="B11" s="183">
        <v>47124.78</v>
      </c>
      <c r="C11" s="186"/>
      <c r="D11" s="186"/>
      <c r="E11" s="186"/>
      <c r="F11" s="187"/>
      <c r="G11" s="187"/>
    </row>
    <row r="12" spans="1:7" ht="15.75" thickBot="1" x14ac:dyDescent="0.3">
      <c r="A12" s="186" t="s">
        <v>317</v>
      </c>
      <c r="B12" s="189">
        <v>58102.79</v>
      </c>
      <c r="C12" s="186"/>
      <c r="D12" s="186"/>
      <c r="E12" s="186"/>
      <c r="F12" s="187"/>
      <c r="G12" s="187"/>
    </row>
    <row r="13" spans="1:7" x14ac:dyDescent="0.25">
      <c r="A13" s="186"/>
      <c r="B13" s="190">
        <f>SUM(B6:B12)</f>
        <v>233076.55000000002</v>
      </c>
      <c r="C13" s="186"/>
      <c r="D13" s="186"/>
      <c r="E13" s="186"/>
      <c r="F13" s="187"/>
      <c r="G13" s="187"/>
    </row>
    <row r="14" spans="1:7" ht="15.75" thickBot="1" x14ac:dyDescent="0.3">
      <c r="A14" s="186"/>
      <c r="B14" s="191">
        <f>B13*0.16</f>
        <v>37292.248000000007</v>
      </c>
      <c r="C14" s="186"/>
      <c r="D14" s="186"/>
      <c r="E14" s="186"/>
      <c r="F14" s="187"/>
      <c r="G14" s="187"/>
    </row>
    <row r="15" spans="1:7" ht="15.75" thickTop="1" x14ac:dyDescent="0.25">
      <c r="A15" s="186"/>
      <c r="B15" s="192">
        <f>+B13+B14</f>
        <v>270368.79800000001</v>
      </c>
      <c r="C15" s="186"/>
      <c r="D15" s="186"/>
      <c r="E15" s="186"/>
      <c r="F15" s="187"/>
      <c r="G15" s="187"/>
    </row>
    <row r="16" spans="1:7" x14ac:dyDescent="0.25">
      <c r="A16" s="186"/>
      <c r="B16" s="183"/>
      <c r="C16" s="186"/>
      <c r="D16" s="186"/>
      <c r="E16" s="186"/>
      <c r="F16" s="187"/>
      <c r="G16" s="187"/>
    </row>
    <row r="17" spans="1:7" x14ac:dyDescent="0.25">
      <c r="A17" s="186"/>
      <c r="B17" s="183"/>
      <c r="C17" s="186"/>
      <c r="D17" s="186"/>
      <c r="E17" s="186"/>
      <c r="F17" s="187"/>
      <c r="G17" s="187"/>
    </row>
    <row r="18" spans="1:7" x14ac:dyDescent="0.25">
      <c r="A18" s="186"/>
      <c r="B18" s="183"/>
      <c r="C18" s="186"/>
      <c r="D18" s="186"/>
      <c r="E18" s="186"/>
      <c r="F18" s="187"/>
      <c r="G18" s="187"/>
    </row>
    <row r="19" spans="1:7" x14ac:dyDescent="0.25">
      <c r="A19" s="186"/>
      <c r="B19" s="186"/>
      <c r="C19" s="186"/>
      <c r="D19" s="186"/>
      <c r="E19" s="186"/>
      <c r="F19" s="187"/>
      <c r="G19" s="187"/>
    </row>
    <row r="20" spans="1:7" x14ac:dyDescent="0.25">
      <c r="A20" s="186"/>
      <c r="B20" s="186"/>
      <c r="C20" s="186"/>
      <c r="D20" s="186"/>
      <c r="E20" s="186"/>
      <c r="F20" s="187"/>
      <c r="G20" s="187"/>
    </row>
    <row r="21" spans="1:7" x14ac:dyDescent="0.25">
      <c r="A21" s="186"/>
      <c r="B21" s="186"/>
      <c r="C21" s="186"/>
      <c r="D21" s="186"/>
      <c r="E21" s="186"/>
      <c r="F21" s="187"/>
      <c r="G21" s="18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Hoja1</vt:lpstr>
      <vt:lpstr>FACTURACIÓN</vt:lpstr>
      <vt:lpstr>C&amp;A</vt:lpstr>
      <vt:lpstr>SINDICATO</vt:lpstr>
      <vt:lpstr>diferencias</vt:lpstr>
      <vt:lpstr>DESGLOSE</vt:lpstr>
      <vt:lpstr>diferencias!Área_de_impresión</vt:lpstr>
      <vt:lpstr>FACTURACIÓN!Área_de_impresión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2016-03-10T18:38:50Z</cp:lastPrinted>
  <dcterms:created xsi:type="dcterms:W3CDTF">2016-01-16T18:25:25Z</dcterms:created>
  <dcterms:modified xsi:type="dcterms:W3CDTF">2016-03-10T18:55:51Z</dcterms:modified>
</cp:coreProperties>
</file>