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NOMINA CELAYA\2016\CONSULTORES\QUINCENAL\"/>
    </mc:Choice>
  </mc:AlternateContent>
  <bookViews>
    <workbookView xWindow="0" yWindow="0" windowWidth="28800" windowHeight="11445" tabRatio="750" activeTab="6"/>
  </bookViews>
  <sheets>
    <sheet name="Hoja1" sheetId="12" r:id="rId1"/>
    <sheet name="FACTURACIÓN" sheetId="8" r:id="rId2"/>
    <sheet name="C&amp;A" sheetId="4" r:id="rId3"/>
    <sheet name="SINDICATO" sheetId="2" r:id="rId4"/>
    <sheet name="Hoja2" sheetId="13" r:id="rId5"/>
    <sheet name="Hoja3" sheetId="14" r:id="rId6"/>
    <sheet name="RESUMEN" sheetId="15" r:id="rId7"/>
  </sheets>
  <definedNames>
    <definedName name="_xlnm._FilterDatabase" localSheetId="1" hidden="1">FACTURACIÓN!$A$8:$BB$75</definedName>
    <definedName name="_xlnm._FilterDatabase" localSheetId="5" hidden="1">Hoja3!$A$9:$Y$66</definedName>
    <definedName name="_xlnm.Print_Area" localSheetId="1">FACTURACIÓN!$A$1:$W$66</definedName>
  </definedNames>
  <calcPr calcId="152511"/>
</workbook>
</file>

<file path=xl/calcChain.xml><?xml version="1.0" encoding="utf-8"?>
<calcChain xmlns="http://schemas.openxmlformats.org/spreadsheetml/2006/main">
  <c r="B12" i="15" l="1"/>
  <c r="B11" i="15"/>
  <c r="B6" i="15"/>
  <c r="B14" i="15" l="1"/>
  <c r="B15" i="15" s="1"/>
  <c r="B16" i="15" s="1"/>
  <c r="G11" i="4" l="1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10" i="4"/>
  <c r="D11" i="4"/>
  <c r="D12" i="4"/>
  <c r="T12" i="8" s="1"/>
  <c r="D13" i="4"/>
  <c r="D14" i="4"/>
  <c r="D15" i="4"/>
  <c r="D16" i="4"/>
  <c r="T16" i="8" s="1"/>
  <c r="D17" i="4"/>
  <c r="T17" i="8" s="1"/>
  <c r="D18" i="4"/>
  <c r="D19" i="4"/>
  <c r="T19" i="8" s="1"/>
  <c r="D20" i="4"/>
  <c r="T20" i="8" s="1"/>
  <c r="D21" i="4"/>
  <c r="D22" i="4"/>
  <c r="D23" i="4"/>
  <c r="T23" i="8" s="1"/>
  <c r="D24" i="4"/>
  <c r="T24" i="8" s="1"/>
  <c r="D25" i="4"/>
  <c r="T25" i="8" s="1"/>
  <c r="D26" i="4"/>
  <c r="D27" i="4"/>
  <c r="D28" i="4"/>
  <c r="T28" i="8" s="1"/>
  <c r="D29" i="4"/>
  <c r="D30" i="4"/>
  <c r="D31" i="4"/>
  <c r="D32" i="4"/>
  <c r="T32" i="8" s="1"/>
  <c r="D33" i="4"/>
  <c r="T33" i="8" s="1"/>
  <c r="D34" i="4"/>
  <c r="D35" i="4"/>
  <c r="T35" i="8" s="1"/>
  <c r="D36" i="4"/>
  <c r="T36" i="8" s="1"/>
  <c r="D37" i="4"/>
  <c r="D38" i="4"/>
  <c r="D39" i="4"/>
  <c r="T39" i="8" s="1"/>
  <c r="D40" i="4"/>
  <c r="T40" i="8" s="1"/>
  <c r="D41" i="4"/>
  <c r="T41" i="8" s="1"/>
  <c r="D42" i="4"/>
  <c r="D43" i="4"/>
  <c r="D45" i="4"/>
  <c r="D46" i="4"/>
  <c r="D47" i="4"/>
  <c r="D48" i="4"/>
  <c r="T48" i="8" s="1"/>
  <c r="D49" i="4"/>
  <c r="T49" i="8" s="1"/>
  <c r="D50" i="4"/>
  <c r="D51" i="4"/>
  <c r="T51" i="8" s="1"/>
  <c r="D52" i="4"/>
  <c r="T52" i="8" s="1"/>
  <c r="D53" i="4"/>
  <c r="D54" i="4"/>
  <c r="D55" i="4"/>
  <c r="D56" i="4"/>
  <c r="D57" i="4"/>
  <c r="D58" i="4"/>
  <c r="D59" i="4"/>
  <c r="D60" i="4"/>
  <c r="T60" i="8" s="1"/>
  <c r="D61" i="4"/>
  <c r="D62" i="4"/>
  <c r="D63" i="4"/>
  <c r="T63" i="8" s="1"/>
  <c r="D64" i="4"/>
  <c r="T64" i="8" s="1"/>
  <c r="D65" i="4"/>
  <c r="T65" i="8" s="1"/>
  <c r="D10" i="4"/>
  <c r="E44" i="4"/>
  <c r="G44" i="4" s="1"/>
  <c r="C44" i="4"/>
  <c r="D44" i="4" s="1"/>
  <c r="F69" i="4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I11" i="8"/>
  <c r="J11" i="8"/>
  <c r="F11" i="2" s="1"/>
  <c r="I12" i="8"/>
  <c r="J12" i="8"/>
  <c r="F12" i="2" s="1"/>
  <c r="I13" i="8"/>
  <c r="E13" i="2" s="1"/>
  <c r="J13" i="8"/>
  <c r="I14" i="8"/>
  <c r="J14" i="8"/>
  <c r="I15" i="8"/>
  <c r="J15" i="8"/>
  <c r="F15" i="2" s="1"/>
  <c r="I16" i="8"/>
  <c r="J16" i="8"/>
  <c r="F16" i="2" s="1"/>
  <c r="I17" i="8"/>
  <c r="E17" i="2" s="1"/>
  <c r="J17" i="8"/>
  <c r="I18" i="8"/>
  <c r="J18" i="8"/>
  <c r="F18" i="2" s="1"/>
  <c r="I19" i="8"/>
  <c r="E19" i="2" s="1"/>
  <c r="J19" i="8"/>
  <c r="F19" i="2" s="1"/>
  <c r="I20" i="8"/>
  <c r="J20" i="8"/>
  <c r="F20" i="2" s="1"/>
  <c r="I21" i="8"/>
  <c r="E21" i="2" s="1"/>
  <c r="J21" i="8"/>
  <c r="I22" i="8"/>
  <c r="J22" i="8"/>
  <c r="F22" i="2" s="1"/>
  <c r="I23" i="8"/>
  <c r="J23" i="8"/>
  <c r="F23" i="2" s="1"/>
  <c r="I24" i="8"/>
  <c r="J24" i="8"/>
  <c r="F24" i="2" s="1"/>
  <c r="I25" i="8"/>
  <c r="E25" i="2" s="1"/>
  <c r="J25" i="8"/>
  <c r="F25" i="2" s="1"/>
  <c r="I26" i="8"/>
  <c r="J26" i="8"/>
  <c r="I27" i="8"/>
  <c r="J27" i="8"/>
  <c r="F27" i="2" s="1"/>
  <c r="I28" i="8"/>
  <c r="J28" i="8"/>
  <c r="F28" i="2" s="1"/>
  <c r="I29" i="8"/>
  <c r="E29" i="2" s="1"/>
  <c r="J29" i="8"/>
  <c r="F29" i="2" s="1"/>
  <c r="I30" i="8"/>
  <c r="J30" i="8"/>
  <c r="I31" i="8"/>
  <c r="J31" i="8"/>
  <c r="F31" i="2" s="1"/>
  <c r="I32" i="8"/>
  <c r="J32" i="8"/>
  <c r="I33" i="8"/>
  <c r="E33" i="2" s="1"/>
  <c r="J33" i="8"/>
  <c r="F33" i="2" s="1"/>
  <c r="I34" i="8"/>
  <c r="J34" i="8"/>
  <c r="I35" i="8"/>
  <c r="J35" i="8"/>
  <c r="F35" i="2" s="1"/>
  <c r="I36" i="8"/>
  <c r="J36" i="8"/>
  <c r="I37" i="8"/>
  <c r="E37" i="2" s="1"/>
  <c r="J37" i="8"/>
  <c r="F37" i="2" s="1"/>
  <c r="I38" i="8"/>
  <c r="J38" i="8"/>
  <c r="I39" i="8"/>
  <c r="J39" i="8"/>
  <c r="F39" i="2" s="1"/>
  <c r="I40" i="8"/>
  <c r="J40" i="8"/>
  <c r="F40" i="2" s="1"/>
  <c r="I41" i="8"/>
  <c r="E41" i="2" s="1"/>
  <c r="J41" i="8"/>
  <c r="F41" i="2" s="1"/>
  <c r="I42" i="8"/>
  <c r="J42" i="8"/>
  <c r="F42" i="2" s="1"/>
  <c r="I43" i="8"/>
  <c r="J43" i="8"/>
  <c r="I44" i="8"/>
  <c r="J44" i="8"/>
  <c r="I45" i="8"/>
  <c r="E45" i="2" s="1"/>
  <c r="J45" i="8"/>
  <c r="F45" i="2" s="1"/>
  <c r="I46" i="8"/>
  <c r="J46" i="8"/>
  <c r="F46" i="2" s="1"/>
  <c r="I47" i="8"/>
  <c r="E47" i="2" s="1"/>
  <c r="J47" i="8"/>
  <c r="I48" i="8"/>
  <c r="J48" i="8"/>
  <c r="I49" i="8"/>
  <c r="E49" i="2" s="1"/>
  <c r="J49" i="8"/>
  <c r="F49" i="2" s="1"/>
  <c r="I50" i="8"/>
  <c r="J50" i="8"/>
  <c r="F50" i="2" s="1"/>
  <c r="I51" i="8"/>
  <c r="J51" i="8"/>
  <c r="I52" i="8"/>
  <c r="E52" i="2" s="1"/>
  <c r="J52" i="8"/>
  <c r="I53" i="8"/>
  <c r="E53" i="2" s="1"/>
  <c r="J53" i="8"/>
  <c r="F53" i="2" s="1"/>
  <c r="I54" i="8"/>
  <c r="J54" i="8"/>
  <c r="F54" i="2" s="1"/>
  <c r="I55" i="8"/>
  <c r="J55" i="8"/>
  <c r="I56" i="8"/>
  <c r="E56" i="2" s="1"/>
  <c r="J56" i="8"/>
  <c r="I57" i="8"/>
  <c r="E57" i="2" s="1"/>
  <c r="J57" i="8"/>
  <c r="F57" i="2" s="1"/>
  <c r="I58" i="8"/>
  <c r="J58" i="8"/>
  <c r="F58" i="2" s="1"/>
  <c r="I59" i="8"/>
  <c r="J59" i="8"/>
  <c r="I60" i="8"/>
  <c r="J60" i="8"/>
  <c r="F60" i="2" s="1"/>
  <c r="I61" i="8"/>
  <c r="E61" i="2" s="1"/>
  <c r="J61" i="8"/>
  <c r="F61" i="2" s="1"/>
  <c r="I62" i="8"/>
  <c r="J62" i="8"/>
  <c r="F62" i="2" s="1"/>
  <c r="I63" i="8"/>
  <c r="E63" i="2" s="1"/>
  <c r="J63" i="8"/>
  <c r="I64" i="8"/>
  <c r="J64" i="8"/>
  <c r="I65" i="8"/>
  <c r="E65" i="2" s="1"/>
  <c r="J65" i="8"/>
  <c r="F65" i="2" s="1"/>
  <c r="J10" i="8"/>
  <c r="I10" i="8"/>
  <c r="E10" i="2" s="1"/>
  <c r="I9" i="8"/>
  <c r="L65" i="8"/>
  <c r="H65" i="2" s="1"/>
  <c r="L64" i="8"/>
  <c r="H64" i="2" s="1"/>
  <c r="L63" i="8"/>
  <c r="H63" i="2" s="1"/>
  <c r="L62" i="8"/>
  <c r="H62" i="2" s="1"/>
  <c r="L61" i="8"/>
  <c r="H61" i="2" s="1"/>
  <c r="L60" i="8"/>
  <c r="H60" i="2" s="1"/>
  <c r="L59" i="8"/>
  <c r="H59" i="2" s="1"/>
  <c r="L58" i="8"/>
  <c r="H58" i="2" s="1"/>
  <c r="L57" i="8"/>
  <c r="H57" i="2" s="1"/>
  <c r="L56" i="8"/>
  <c r="H56" i="2" s="1"/>
  <c r="L55" i="8"/>
  <c r="H55" i="2" s="1"/>
  <c r="L54" i="8"/>
  <c r="H54" i="2" s="1"/>
  <c r="L53" i="8"/>
  <c r="H53" i="2" s="1"/>
  <c r="L52" i="8"/>
  <c r="H52" i="2" s="1"/>
  <c r="L51" i="8"/>
  <c r="H51" i="2" s="1"/>
  <c r="L50" i="8"/>
  <c r="H50" i="2" s="1"/>
  <c r="L49" i="8"/>
  <c r="H49" i="2" s="1"/>
  <c r="L48" i="8"/>
  <c r="H48" i="2" s="1"/>
  <c r="L47" i="8"/>
  <c r="H47" i="2" s="1"/>
  <c r="L46" i="8"/>
  <c r="H46" i="2" s="1"/>
  <c r="L45" i="8"/>
  <c r="H45" i="2" s="1"/>
  <c r="L44" i="8"/>
  <c r="H44" i="2" s="1"/>
  <c r="L43" i="8"/>
  <c r="H43" i="2" s="1"/>
  <c r="L42" i="8"/>
  <c r="H42" i="2" s="1"/>
  <c r="L41" i="8"/>
  <c r="H41" i="2" s="1"/>
  <c r="L40" i="8"/>
  <c r="H40" i="2" s="1"/>
  <c r="L39" i="8"/>
  <c r="H39" i="2" s="1"/>
  <c r="L38" i="8"/>
  <c r="H38" i="2" s="1"/>
  <c r="L37" i="8"/>
  <c r="H37" i="2" s="1"/>
  <c r="L36" i="8"/>
  <c r="H36" i="2" s="1"/>
  <c r="L35" i="8"/>
  <c r="H35" i="2" s="1"/>
  <c r="L34" i="8"/>
  <c r="H34" i="2" s="1"/>
  <c r="L33" i="8"/>
  <c r="H33" i="2" s="1"/>
  <c r="L32" i="8"/>
  <c r="H32" i="2" s="1"/>
  <c r="L31" i="8"/>
  <c r="H31" i="2" s="1"/>
  <c r="L30" i="8"/>
  <c r="H30" i="2" s="1"/>
  <c r="L29" i="8"/>
  <c r="H29" i="2" s="1"/>
  <c r="L28" i="8"/>
  <c r="H28" i="2" s="1"/>
  <c r="L27" i="8"/>
  <c r="H27" i="2" s="1"/>
  <c r="L26" i="8"/>
  <c r="H26" i="2" s="1"/>
  <c r="L25" i="8"/>
  <c r="H25" i="2" s="1"/>
  <c r="L24" i="8"/>
  <c r="H24" i="2" s="1"/>
  <c r="L23" i="8"/>
  <c r="H23" i="2" s="1"/>
  <c r="L22" i="8"/>
  <c r="H22" i="2" s="1"/>
  <c r="L21" i="8"/>
  <c r="H21" i="2" s="1"/>
  <c r="L20" i="8"/>
  <c r="H20" i="2" s="1"/>
  <c r="L19" i="8"/>
  <c r="H19" i="2" s="1"/>
  <c r="L18" i="8"/>
  <c r="H18" i="2" s="1"/>
  <c r="L17" i="8"/>
  <c r="H17" i="2" s="1"/>
  <c r="L16" i="8"/>
  <c r="H16" i="2" s="1"/>
  <c r="L15" i="8"/>
  <c r="H15" i="2" s="1"/>
  <c r="L14" i="8"/>
  <c r="H14" i="2" s="1"/>
  <c r="L13" i="8"/>
  <c r="H13" i="2" s="1"/>
  <c r="L12" i="8"/>
  <c r="H12" i="2" s="1"/>
  <c r="L11" i="8"/>
  <c r="H11" i="2" s="1"/>
  <c r="L10" i="8"/>
  <c r="H10" i="2" s="1"/>
  <c r="AH11" i="8"/>
  <c r="AL11" i="8" s="1"/>
  <c r="AU11" i="8" s="1"/>
  <c r="AH12" i="8"/>
  <c r="AL12" i="8" s="1"/>
  <c r="AU12" i="8" s="1"/>
  <c r="AH13" i="8"/>
  <c r="AL13" i="8" s="1"/>
  <c r="AU13" i="8" s="1"/>
  <c r="AH14" i="8"/>
  <c r="AL14" i="8" s="1"/>
  <c r="AU14" i="8" s="1"/>
  <c r="AH15" i="8"/>
  <c r="AL15" i="8" s="1"/>
  <c r="AU15" i="8" s="1"/>
  <c r="AH16" i="8"/>
  <c r="AL16" i="8" s="1"/>
  <c r="AU16" i="8" s="1"/>
  <c r="AH17" i="8"/>
  <c r="AL17" i="8" s="1"/>
  <c r="AU17" i="8" s="1"/>
  <c r="AH18" i="8"/>
  <c r="AL18" i="8" s="1"/>
  <c r="AU18" i="8" s="1"/>
  <c r="AH19" i="8"/>
  <c r="AL19" i="8" s="1"/>
  <c r="AU19" i="8" s="1"/>
  <c r="AH20" i="8"/>
  <c r="AL20" i="8" s="1"/>
  <c r="AU20" i="8" s="1"/>
  <c r="AH21" i="8"/>
  <c r="AL21" i="8" s="1"/>
  <c r="AU21" i="8" s="1"/>
  <c r="AH22" i="8"/>
  <c r="AL22" i="8" s="1"/>
  <c r="AU22" i="8" s="1"/>
  <c r="AH23" i="8"/>
  <c r="AL23" i="8" s="1"/>
  <c r="AU23" i="8" s="1"/>
  <c r="AH24" i="8"/>
  <c r="AL24" i="8" s="1"/>
  <c r="AU24" i="8" s="1"/>
  <c r="AH25" i="8"/>
  <c r="AL25" i="8" s="1"/>
  <c r="AU25" i="8" s="1"/>
  <c r="AH26" i="8"/>
  <c r="AL26" i="8" s="1"/>
  <c r="AU26" i="8" s="1"/>
  <c r="AH27" i="8"/>
  <c r="AL27" i="8" s="1"/>
  <c r="AU27" i="8" s="1"/>
  <c r="AH28" i="8"/>
  <c r="AL28" i="8" s="1"/>
  <c r="AU28" i="8" s="1"/>
  <c r="AH29" i="8"/>
  <c r="AL29" i="8" s="1"/>
  <c r="AU29" i="8" s="1"/>
  <c r="AH30" i="8"/>
  <c r="AL30" i="8" s="1"/>
  <c r="AU30" i="8" s="1"/>
  <c r="AH31" i="8"/>
  <c r="AL31" i="8" s="1"/>
  <c r="AU31" i="8" s="1"/>
  <c r="AH32" i="8"/>
  <c r="AL32" i="8" s="1"/>
  <c r="AU32" i="8" s="1"/>
  <c r="AH33" i="8"/>
  <c r="AL33" i="8" s="1"/>
  <c r="AU33" i="8" s="1"/>
  <c r="AH34" i="8"/>
  <c r="AL34" i="8" s="1"/>
  <c r="AU34" i="8" s="1"/>
  <c r="AH35" i="8"/>
  <c r="AL35" i="8" s="1"/>
  <c r="AU35" i="8" s="1"/>
  <c r="AH36" i="8"/>
  <c r="AL36" i="8" s="1"/>
  <c r="AU36" i="8" s="1"/>
  <c r="AH37" i="8"/>
  <c r="AL37" i="8" s="1"/>
  <c r="AU37" i="8" s="1"/>
  <c r="AH38" i="8"/>
  <c r="AL38" i="8" s="1"/>
  <c r="AU38" i="8" s="1"/>
  <c r="AH39" i="8"/>
  <c r="AL39" i="8" s="1"/>
  <c r="AU39" i="8" s="1"/>
  <c r="AH40" i="8"/>
  <c r="AL40" i="8" s="1"/>
  <c r="AU40" i="8" s="1"/>
  <c r="AH41" i="8"/>
  <c r="AL41" i="8" s="1"/>
  <c r="AU41" i="8" s="1"/>
  <c r="AH42" i="8"/>
  <c r="AL42" i="8" s="1"/>
  <c r="AU42" i="8" s="1"/>
  <c r="AH43" i="8"/>
  <c r="AL43" i="8" s="1"/>
  <c r="AU43" i="8" s="1"/>
  <c r="AH44" i="8"/>
  <c r="AL44" i="8" s="1"/>
  <c r="AU44" i="8" s="1"/>
  <c r="AH45" i="8"/>
  <c r="AL45" i="8" s="1"/>
  <c r="AU45" i="8" s="1"/>
  <c r="AH46" i="8"/>
  <c r="AL46" i="8" s="1"/>
  <c r="AU46" i="8" s="1"/>
  <c r="AH47" i="8"/>
  <c r="AL47" i="8" s="1"/>
  <c r="AU47" i="8" s="1"/>
  <c r="AH48" i="8"/>
  <c r="AL48" i="8" s="1"/>
  <c r="AU48" i="8" s="1"/>
  <c r="AH49" i="8"/>
  <c r="AL49" i="8" s="1"/>
  <c r="AU49" i="8" s="1"/>
  <c r="AH50" i="8"/>
  <c r="AL50" i="8" s="1"/>
  <c r="AU50" i="8" s="1"/>
  <c r="AH51" i="8"/>
  <c r="AL51" i="8" s="1"/>
  <c r="AU51" i="8" s="1"/>
  <c r="AH52" i="8"/>
  <c r="AL52" i="8" s="1"/>
  <c r="AU52" i="8" s="1"/>
  <c r="AH53" i="8"/>
  <c r="AL53" i="8" s="1"/>
  <c r="AU53" i="8" s="1"/>
  <c r="AH54" i="8"/>
  <c r="AL54" i="8" s="1"/>
  <c r="AU54" i="8" s="1"/>
  <c r="AH55" i="8"/>
  <c r="AL55" i="8" s="1"/>
  <c r="AU55" i="8" s="1"/>
  <c r="AH56" i="8"/>
  <c r="AL56" i="8" s="1"/>
  <c r="AU56" i="8" s="1"/>
  <c r="AH57" i="8"/>
  <c r="AL57" i="8" s="1"/>
  <c r="AU57" i="8" s="1"/>
  <c r="AH58" i="8"/>
  <c r="AL58" i="8" s="1"/>
  <c r="AU58" i="8" s="1"/>
  <c r="AH59" i="8"/>
  <c r="AL59" i="8" s="1"/>
  <c r="AU59" i="8" s="1"/>
  <c r="AH60" i="8"/>
  <c r="AL60" i="8" s="1"/>
  <c r="AU60" i="8" s="1"/>
  <c r="AH61" i="8"/>
  <c r="AL61" i="8" s="1"/>
  <c r="AU61" i="8" s="1"/>
  <c r="AH62" i="8"/>
  <c r="AL62" i="8" s="1"/>
  <c r="AU62" i="8" s="1"/>
  <c r="AH63" i="8"/>
  <c r="AL63" i="8" s="1"/>
  <c r="AU63" i="8" s="1"/>
  <c r="AH64" i="8"/>
  <c r="AL64" i="8" s="1"/>
  <c r="AU64" i="8" s="1"/>
  <c r="AH65" i="8"/>
  <c r="AL65" i="8" s="1"/>
  <c r="AU65" i="8" s="1"/>
  <c r="AH10" i="8"/>
  <c r="AL10" i="8" s="1"/>
  <c r="AU10" i="8" s="1"/>
  <c r="S10" i="8"/>
  <c r="D66" i="8"/>
  <c r="F66" i="8"/>
  <c r="G66" i="8"/>
  <c r="E10" i="8"/>
  <c r="O11" i="8"/>
  <c r="K11" i="2" s="1"/>
  <c r="O12" i="8"/>
  <c r="K12" i="2" s="1"/>
  <c r="O13" i="8"/>
  <c r="K13" i="2" s="1"/>
  <c r="O14" i="8"/>
  <c r="K14" i="2" s="1"/>
  <c r="O15" i="8"/>
  <c r="K15" i="2" s="1"/>
  <c r="O16" i="8"/>
  <c r="K16" i="2" s="1"/>
  <c r="O17" i="8"/>
  <c r="K17" i="2" s="1"/>
  <c r="O18" i="8"/>
  <c r="K18" i="2" s="1"/>
  <c r="O19" i="8"/>
  <c r="K19" i="2" s="1"/>
  <c r="O20" i="8"/>
  <c r="K20" i="2" s="1"/>
  <c r="O21" i="8"/>
  <c r="K21" i="2" s="1"/>
  <c r="O22" i="8"/>
  <c r="K22" i="2" s="1"/>
  <c r="O23" i="8"/>
  <c r="K23" i="2" s="1"/>
  <c r="O24" i="8"/>
  <c r="K24" i="2" s="1"/>
  <c r="O25" i="8"/>
  <c r="K25" i="2" s="1"/>
  <c r="O26" i="8"/>
  <c r="K26" i="2" s="1"/>
  <c r="O27" i="8"/>
  <c r="K27" i="2" s="1"/>
  <c r="O28" i="8"/>
  <c r="K28" i="2" s="1"/>
  <c r="O29" i="8"/>
  <c r="K29" i="2" s="1"/>
  <c r="O30" i="8"/>
  <c r="K30" i="2" s="1"/>
  <c r="O31" i="8"/>
  <c r="K31" i="2" s="1"/>
  <c r="O32" i="8"/>
  <c r="K32" i="2" s="1"/>
  <c r="O33" i="8"/>
  <c r="K33" i="2" s="1"/>
  <c r="O34" i="8"/>
  <c r="K34" i="2" s="1"/>
  <c r="O35" i="8"/>
  <c r="K35" i="2" s="1"/>
  <c r="O36" i="8"/>
  <c r="K36" i="2" s="1"/>
  <c r="O37" i="8"/>
  <c r="K37" i="2" s="1"/>
  <c r="O38" i="8"/>
  <c r="K38" i="2" s="1"/>
  <c r="O39" i="8"/>
  <c r="K39" i="2" s="1"/>
  <c r="O40" i="8"/>
  <c r="K40" i="2" s="1"/>
  <c r="O41" i="8"/>
  <c r="K41" i="2" s="1"/>
  <c r="O42" i="8"/>
  <c r="K42" i="2" s="1"/>
  <c r="O43" i="8"/>
  <c r="K43" i="2" s="1"/>
  <c r="O44" i="8"/>
  <c r="K44" i="2" s="1"/>
  <c r="O45" i="8"/>
  <c r="K45" i="2" s="1"/>
  <c r="O46" i="8"/>
  <c r="K46" i="2" s="1"/>
  <c r="O47" i="8"/>
  <c r="K47" i="2" s="1"/>
  <c r="O79" i="8"/>
  <c r="O48" i="8"/>
  <c r="K48" i="2" s="1"/>
  <c r="O49" i="8"/>
  <c r="K49" i="2" s="1"/>
  <c r="O50" i="8"/>
  <c r="K50" i="2" s="1"/>
  <c r="O51" i="8"/>
  <c r="K51" i="2" s="1"/>
  <c r="O52" i="8"/>
  <c r="K52" i="2" s="1"/>
  <c r="O53" i="8"/>
  <c r="K53" i="2" s="1"/>
  <c r="O54" i="8"/>
  <c r="K54" i="2" s="1"/>
  <c r="O55" i="8"/>
  <c r="K55" i="2" s="1"/>
  <c r="O56" i="8"/>
  <c r="K56" i="2" s="1"/>
  <c r="O57" i="8"/>
  <c r="K57" i="2" s="1"/>
  <c r="O58" i="8"/>
  <c r="K58" i="2" s="1"/>
  <c r="O59" i="8"/>
  <c r="K59" i="2" s="1"/>
  <c r="O60" i="8"/>
  <c r="K60" i="2" s="1"/>
  <c r="O61" i="8"/>
  <c r="K61" i="2" s="1"/>
  <c r="O62" i="8"/>
  <c r="K62" i="2" s="1"/>
  <c r="O63" i="8"/>
  <c r="K63" i="2" s="1"/>
  <c r="O64" i="8"/>
  <c r="K64" i="2" s="1"/>
  <c r="O65" i="8"/>
  <c r="K65" i="2" s="1"/>
  <c r="O10" i="8"/>
  <c r="K10" i="2" s="1"/>
  <c r="N11" i="8"/>
  <c r="J11" i="2" s="1"/>
  <c r="N12" i="8"/>
  <c r="J12" i="2" s="1"/>
  <c r="N13" i="8"/>
  <c r="J13" i="2" s="1"/>
  <c r="N14" i="8"/>
  <c r="J14" i="2" s="1"/>
  <c r="N15" i="8"/>
  <c r="J15" i="2" s="1"/>
  <c r="N16" i="8"/>
  <c r="J16" i="2" s="1"/>
  <c r="N17" i="8"/>
  <c r="J17" i="2" s="1"/>
  <c r="N18" i="8"/>
  <c r="J18" i="2" s="1"/>
  <c r="N19" i="8"/>
  <c r="J19" i="2" s="1"/>
  <c r="N20" i="8"/>
  <c r="J20" i="2" s="1"/>
  <c r="N21" i="8"/>
  <c r="J21" i="2" s="1"/>
  <c r="N22" i="8"/>
  <c r="J22" i="2" s="1"/>
  <c r="N23" i="8"/>
  <c r="J23" i="2" s="1"/>
  <c r="N24" i="8"/>
  <c r="J24" i="2" s="1"/>
  <c r="N25" i="8"/>
  <c r="J25" i="2" s="1"/>
  <c r="N26" i="8"/>
  <c r="J26" i="2" s="1"/>
  <c r="N27" i="8"/>
  <c r="J27" i="2" s="1"/>
  <c r="N28" i="8"/>
  <c r="J28" i="2" s="1"/>
  <c r="N29" i="8"/>
  <c r="J29" i="2" s="1"/>
  <c r="N30" i="8"/>
  <c r="J30" i="2" s="1"/>
  <c r="N31" i="8"/>
  <c r="J31" i="2" s="1"/>
  <c r="N32" i="8"/>
  <c r="J32" i="2" s="1"/>
  <c r="N33" i="8"/>
  <c r="J33" i="2" s="1"/>
  <c r="N34" i="8"/>
  <c r="J34" i="2" s="1"/>
  <c r="N35" i="8"/>
  <c r="J35" i="2" s="1"/>
  <c r="N36" i="8"/>
  <c r="J36" i="2" s="1"/>
  <c r="N37" i="8"/>
  <c r="J37" i="2" s="1"/>
  <c r="N38" i="8"/>
  <c r="J38" i="2" s="1"/>
  <c r="N39" i="8"/>
  <c r="J39" i="2" s="1"/>
  <c r="N40" i="8"/>
  <c r="J40" i="2" s="1"/>
  <c r="N41" i="8"/>
  <c r="J41" i="2" s="1"/>
  <c r="N42" i="8"/>
  <c r="J42" i="2" s="1"/>
  <c r="N43" i="8"/>
  <c r="J43" i="2" s="1"/>
  <c r="N44" i="8"/>
  <c r="J44" i="2" s="1"/>
  <c r="N45" i="8"/>
  <c r="J45" i="2" s="1"/>
  <c r="N46" i="8"/>
  <c r="J46" i="2" s="1"/>
  <c r="N47" i="8"/>
  <c r="J47" i="2" s="1"/>
  <c r="N79" i="8"/>
  <c r="N48" i="8"/>
  <c r="J48" i="2" s="1"/>
  <c r="N49" i="8"/>
  <c r="J49" i="2" s="1"/>
  <c r="N50" i="8"/>
  <c r="J50" i="2" s="1"/>
  <c r="N51" i="8"/>
  <c r="J51" i="2" s="1"/>
  <c r="N52" i="8"/>
  <c r="J52" i="2" s="1"/>
  <c r="N53" i="8"/>
  <c r="J53" i="2" s="1"/>
  <c r="N54" i="8"/>
  <c r="J54" i="2" s="1"/>
  <c r="N55" i="8"/>
  <c r="J55" i="2" s="1"/>
  <c r="N56" i="8"/>
  <c r="J56" i="2" s="1"/>
  <c r="N57" i="8"/>
  <c r="J57" i="2" s="1"/>
  <c r="N58" i="8"/>
  <c r="J58" i="2" s="1"/>
  <c r="N59" i="8"/>
  <c r="J59" i="2" s="1"/>
  <c r="N60" i="8"/>
  <c r="J60" i="2" s="1"/>
  <c r="N61" i="8"/>
  <c r="J61" i="2" s="1"/>
  <c r="N62" i="8"/>
  <c r="J62" i="2" s="1"/>
  <c r="N63" i="8"/>
  <c r="J63" i="2" s="1"/>
  <c r="N64" i="8"/>
  <c r="J64" i="2" s="1"/>
  <c r="N65" i="8"/>
  <c r="J65" i="2" s="1"/>
  <c r="N10" i="8"/>
  <c r="J10" i="2" s="1"/>
  <c r="J79" i="8"/>
  <c r="M11" i="8"/>
  <c r="I11" i="2" s="1"/>
  <c r="M12" i="8"/>
  <c r="I12" i="2" s="1"/>
  <c r="M13" i="8"/>
  <c r="I13" i="2" s="1"/>
  <c r="M14" i="8"/>
  <c r="I14" i="2" s="1"/>
  <c r="M15" i="8"/>
  <c r="I15" i="2" s="1"/>
  <c r="M16" i="8"/>
  <c r="I16" i="2" s="1"/>
  <c r="M17" i="8"/>
  <c r="I17" i="2" s="1"/>
  <c r="M18" i="8"/>
  <c r="I18" i="2" s="1"/>
  <c r="M19" i="8"/>
  <c r="I19" i="2" s="1"/>
  <c r="M20" i="8"/>
  <c r="I20" i="2" s="1"/>
  <c r="M21" i="8"/>
  <c r="I21" i="2" s="1"/>
  <c r="M22" i="8"/>
  <c r="I22" i="2" s="1"/>
  <c r="M23" i="8"/>
  <c r="I23" i="2" s="1"/>
  <c r="M24" i="8"/>
  <c r="I24" i="2" s="1"/>
  <c r="M25" i="8"/>
  <c r="I25" i="2" s="1"/>
  <c r="M26" i="8"/>
  <c r="I26" i="2" s="1"/>
  <c r="M27" i="8"/>
  <c r="I27" i="2" s="1"/>
  <c r="M28" i="8"/>
  <c r="I28" i="2" s="1"/>
  <c r="M29" i="8"/>
  <c r="I29" i="2" s="1"/>
  <c r="M30" i="8"/>
  <c r="I30" i="2" s="1"/>
  <c r="M31" i="8"/>
  <c r="I31" i="2" s="1"/>
  <c r="M32" i="8"/>
  <c r="I32" i="2" s="1"/>
  <c r="M33" i="8"/>
  <c r="I33" i="2" s="1"/>
  <c r="M34" i="8"/>
  <c r="I34" i="2" s="1"/>
  <c r="M35" i="8"/>
  <c r="I35" i="2" s="1"/>
  <c r="M36" i="8"/>
  <c r="I36" i="2" s="1"/>
  <c r="M37" i="8"/>
  <c r="I37" i="2" s="1"/>
  <c r="M38" i="8"/>
  <c r="I38" i="2" s="1"/>
  <c r="M39" i="8"/>
  <c r="I39" i="2" s="1"/>
  <c r="M40" i="8"/>
  <c r="I40" i="2" s="1"/>
  <c r="M41" i="8"/>
  <c r="I41" i="2" s="1"/>
  <c r="M42" i="8"/>
  <c r="I42" i="2" s="1"/>
  <c r="M43" i="8"/>
  <c r="I43" i="2" s="1"/>
  <c r="M44" i="8"/>
  <c r="I44" i="2" s="1"/>
  <c r="M45" i="8"/>
  <c r="I45" i="2" s="1"/>
  <c r="M46" i="8"/>
  <c r="I46" i="2" s="1"/>
  <c r="M47" i="8"/>
  <c r="I47" i="2" s="1"/>
  <c r="M79" i="8"/>
  <c r="M48" i="8"/>
  <c r="I48" i="2" s="1"/>
  <c r="M49" i="8"/>
  <c r="I49" i="2" s="1"/>
  <c r="M50" i="8"/>
  <c r="I50" i="2" s="1"/>
  <c r="M51" i="8"/>
  <c r="I51" i="2" s="1"/>
  <c r="M52" i="8"/>
  <c r="I52" i="2" s="1"/>
  <c r="M53" i="8"/>
  <c r="I53" i="2" s="1"/>
  <c r="M54" i="8"/>
  <c r="I54" i="2" s="1"/>
  <c r="M55" i="8"/>
  <c r="I55" i="2" s="1"/>
  <c r="M56" i="8"/>
  <c r="I56" i="2" s="1"/>
  <c r="M57" i="8"/>
  <c r="I57" i="2" s="1"/>
  <c r="M58" i="8"/>
  <c r="I58" i="2" s="1"/>
  <c r="M59" i="8"/>
  <c r="I59" i="2" s="1"/>
  <c r="M60" i="8"/>
  <c r="I60" i="2" s="1"/>
  <c r="M61" i="8"/>
  <c r="I61" i="2" s="1"/>
  <c r="M62" i="8"/>
  <c r="I62" i="2" s="1"/>
  <c r="M63" i="8"/>
  <c r="I63" i="2" s="1"/>
  <c r="M64" i="8"/>
  <c r="I64" i="2" s="1"/>
  <c r="M65" i="8"/>
  <c r="I65" i="2" s="1"/>
  <c r="K11" i="8"/>
  <c r="G11" i="2" s="1"/>
  <c r="K12" i="8"/>
  <c r="G12" i="2" s="1"/>
  <c r="K13" i="8"/>
  <c r="K14" i="8"/>
  <c r="G14" i="2" s="1"/>
  <c r="K15" i="8"/>
  <c r="G15" i="2" s="1"/>
  <c r="K16" i="8"/>
  <c r="G16" i="2" s="1"/>
  <c r="K17" i="8"/>
  <c r="G17" i="2" s="1"/>
  <c r="K18" i="8"/>
  <c r="G18" i="2" s="1"/>
  <c r="K19" i="8"/>
  <c r="G19" i="2" s="1"/>
  <c r="K20" i="8"/>
  <c r="G20" i="2" s="1"/>
  <c r="K21" i="8"/>
  <c r="G21" i="2" s="1"/>
  <c r="K22" i="8"/>
  <c r="G22" i="2" s="1"/>
  <c r="K23" i="8"/>
  <c r="G23" i="2" s="1"/>
  <c r="K24" i="8"/>
  <c r="G24" i="2" s="1"/>
  <c r="K25" i="8"/>
  <c r="G25" i="2" s="1"/>
  <c r="K26" i="8"/>
  <c r="G26" i="2" s="1"/>
  <c r="K27" i="8"/>
  <c r="G27" i="2" s="1"/>
  <c r="K28" i="8"/>
  <c r="G28" i="2" s="1"/>
  <c r="K29" i="8"/>
  <c r="G29" i="2" s="1"/>
  <c r="K30" i="8"/>
  <c r="G30" i="2" s="1"/>
  <c r="K31" i="8"/>
  <c r="G31" i="2" s="1"/>
  <c r="K32" i="8"/>
  <c r="G32" i="2" s="1"/>
  <c r="K33" i="8"/>
  <c r="G33" i="2" s="1"/>
  <c r="K34" i="8"/>
  <c r="G34" i="2" s="1"/>
  <c r="K35" i="8"/>
  <c r="G35" i="2" s="1"/>
  <c r="K36" i="8"/>
  <c r="G36" i="2" s="1"/>
  <c r="K37" i="8"/>
  <c r="G37" i="2" s="1"/>
  <c r="K38" i="8"/>
  <c r="G38" i="2" s="1"/>
  <c r="K39" i="8"/>
  <c r="G39" i="2" s="1"/>
  <c r="K40" i="8"/>
  <c r="G40" i="2" s="1"/>
  <c r="K41" i="8"/>
  <c r="G41" i="2" s="1"/>
  <c r="K42" i="8"/>
  <c r="G42" i="2" s="1"/>
  <c r="K43" i="8"/>
  <c r="G43" i="2" s="1"/>
  <c r="K44" i="8"/>
  <c r="G44" i="2" s="1"/>
  <c r="K45" i="8"/>
  <c r="G45" i="2" s="1"/>
  <c r="K46" i="8"/>
  <c r="G46" i="2" s="1"/>
  <c r="K47" i="8"/>
  <c r="G47" i="2" s="1"/>
  <c r="K79" i="8"/>
  <c r="K48" i="8"/>
  <c r="G48" i="2" s="1"/>
  <c r="K49" i="8"/>
  <c r="G49" i="2" s="1"/>
  <c r="K50" i="8"/>
  <c r="G50" i="2" s="1"/>
  <c r="K51" i="8"/>
  <c r="G51" i="2" s="1"/>
  <c r="K52" i="8"/>
  <c r="G52" i="2" s="1"/>
  <c r="K53" i="8"/>
  <c r="G53" i="2" s="1"/>
  <c r="K54" i="8"/>
  <c r="G54" i="2" s="1"/>
  <c r="K55" i="8"/>
  <c r="G55" i="2" s="1"/>
  <c r="K56" i="8"/>
  <c r="G56" i="2" s="1"/>
  <c r="K57" i="8"/>
  <c r="G57" i="2" s="1"/>
  <c r="K58" i="8"/>
  <c r="G58" i="2" s="1"/>
  <c r="K59" i="8"/>
  <c r="G59" i="2" s="1"/>
  <c r="K60" i="8"/>
  <c r="G60" i="2" s="1"/>
  <c r="K61" i="8"/>
  <c r="G61" i="2" s="1"/>
  <c r="K62" i="8"/>
  <c r="G62" i="2" s="1"/>
  <c r="K63" i="8"/>
  <c r="G63" i="2" s="1"/>
  <c r="K64" i="8"/>
  <c r="G64" i="2" s="1"/>
  <c r="K65" i="8"/>
  <c r="G65" i="2" s="1"/>
  <c r="K10" i="8"/>
  <c r="G10" i="2" s="1"/>
  <c r="M10" i="8"/>
  <c r="I10" i="2" s="1"/>
  <c r="H53" i="4" l="1"/>
  <c r="H43" i="4"/>
  <c r="H31" i="4"/>
  <c r="H27" i="4"/>
  <c r="H19" i="4"/>
  <c r="H15" i="4"/>
  <c r="H11" i="4"/>
  <c r="H55" i="4"/>
  <c r="H34" i="4"/>
  <c r="H54" i="4"/>
  <c r="H50" i="4"/>
  <c r="H46" i="4"/>
  <c r="H37" i="4"/>
  <c r="H47" i="4"/>
  <c r="H30" i="4"/>
  <c r="T31" i="8"/>
  <c r="T53" i="8"/>
  <c r="T55" i="8"/>
  <c r="H56" i="4"/>
  <c r="T27" i="8"/>
  <c r="C69" i="4"/>
  <c r="H63" i="4"/>
  <c r="H59" i="4"/>
  <c r="H18" i="4"/>
  <c r="H14" i="4"/>
  <c r="H51" i="4"/>
  <c r="H35" i="4"/>
  <c r="T59" i="8"/>
  <c r="T47" i="8"/>
  <c r="T15" i="8"/>
  <c r="H10" i="4"/>
  <c r="H62" i="4"/>
  <c r="H58" i="4"/>
  <c r="H29" i="4"/>
  <c r="H21" i="4"/>
  <c r="H13" i="4"/>
  <c r="T56" i="8"/>
  <c r="T43" i="8"/>
  <c r="T11" i="8"/>
  <c r="E69" i="4"/>
  <c r="H61" i="4"/>
  <c r="H57" i="4"/>
  <c r="H45" i="4"/>
  <c r="H40" i="4"/>
  <c r="H32" i="4"/>
  <c r="H24" i="4"/>
  <c r="H16" i="4"/>
  <c r="T57" i="8"/>
  <c r="H44" i="4"/>
  <c r="H64" i="4"/>
  <c r="H48" i="4"/>
  <c r="H39" i="4"/>
  <c r="H23" i="4"/>
  <c r="H65" i="4"/>
  <c r="H49" i="4"/>
  <c r="H41" i="4"/>
  <c r="H25" i="4"/>
  <c r="T61" i="8"/>
  <c r="T45" i="8"/>
  <c r="H42" i="4"/>
  <c r="H38" i="4"/>
  <c r="H26" i="4"/>
  <c r="H22" i="4"/>
  <c r="G69" i="4"/>
  <c r="H33" i="4"/>
  <c r="H17" i="4"/>
  <c r="T10" i="8"/>
  <c r="T62" i="8"/>
  <c r="T58" i="8"/>
  <c r="T54" i="8"/>
  <c r="T50" i="8"/>
  <c r="T46" i="8"/>
  <c r="T37" i="8"/>
  <c r="T29" i="8"/>
  <c r="T21" i="8"/>
  <c r="T13" i="8"/>
  <c r="L25" i="2"/>
  <c r="T42" i="8"/>
  <c r="T38" i="8"/>
  <c r="T34" i="8"/>
  <c r="T30" i="8"/>
  <c r="T26" i="8"/>
  <c r="T22" i="8"/>
  <c r="T18" i="8"/>
  <c r="T14" i="8"/>
  <c r="D69" i="4"/>
  <c r="H60" i="4"/>
  <c r="H52" i="4"/>
  <c r="H36" i="4"/>
  <c r="H28" i="4"/>
  <c r="H20" i="4"/>
  <c r="H12" i="4"/>
  <c r="G13" i="2"/>
  <c r="G69" i="2" s="1"/>
  <c r="K66" i="8"/>
  <c r="J69" i="2"/>
  <c r="L66" i="8"/>
  <c r="P49" i="8"/>
  <c r="P17" i="8"/>
  <c r="F10" i="2"/>
  <c r="J66" i="8"/>
  <c r="E64" i="2"/>
  <c r="P64" i="8"/>
  <c r="E62" i="2"/>
  <c r="L62" i="2" s="1"/>
  <c r="P62" i="8"/>
  <c r="E60" i="2"/>
  <c r="L60" i="2" s="1"/>
  <c r="P60" i="8"/>
  <c r="E58" i="2"/>
  <c r="L58" i="2" s="1"/>
  <c r="P58" i="8"/>
  <c r="L61" i="2"/>
  <c r="P57" i="8"/>
  <c r="L45" i="2"/>
  <c r="P13" i="8"/>
  <c r="P56" i="8"/>
  <c r="P25" i="8"/>
  <c r="E54" i="2"/>
  <c r="L54" i="2" s="1"/>
  <c r="P54" i="8"/>
  <c r="P52" i="8"/>
  <c r="E50" i="2"/>
  <c r="L50" i="2" s="1"/>
  <c r="P50" i="8"/>
  <c r="E48" i="2"/>
  <c r="P48" i="8"/>
  <c r="E46" i="2"/>
  <c r="L46" i="2" s="1"/>
  <c r="P46" i="8"/>
  <c r="P44" i="8"/>
  <c r="E44" i="2"/>
  <c r="E42" i="2"/>
  <c r="L42" i="2" s="1"/>
  <c r="P42" i="8"/>
  <c r="E40" i="2"/>
  <c r="L40" i="2" s="1"/>
  <c r="P40" i="8"/>
  <c r="E38" i="2"/>
  <c r="P38" i="8"/>
  <c r="E36" i="2"/>
  <c r="P36" i="8"/>
  <c r="E34" i="2"/>
  <c r="P34" i="8"/>
  <c r="E32" i="2"/>
  <c r="P32" i="8"/>
  <c r="E30" i="2"/>
  <c r="P30" i="8"/>
  <c r="E28" i="2"/>
  <c r="L28" i="2" s="1"/>
  <c r="P28" i="8"/>
  <c r="E26" i="2"/>
  <c r="P26" i="8"/>
  <c r="E24" i="2"/>
  <c r="L24" i="2" s="1"/>
  <c r="P24" i="8"/>
  <c r="E22" i="2"/>
  <c r="L22" i="2" s="1"/>
  <c r="P22" i="8"/>
  <c r="E20" i="2"/>
  <c r="L20" i="2" s="1"/>
  <c r="P20" i="8"/>
  <c r="E18" i="2"/>
  <c r="L18" i="2" s="1"/>
  <c r="P18" i="8"/>
  <c r="P16" i="8"/>
  <c r="E16" i="2"/>
  <c r="L16" i="2" s="1"/>
  <c r="E14" i="2"/>
  <c r="P14" i="8"/>
  <c r="P12" i="8"/>
  <c r="E12" i="2"/>
  <c r="L12" i="2" s="1"/>
  <c r="P10" i="8"/>
  <c r="P41" i="8"/>
  <c r="H69" i="2"/>
  <c r="P61" i="8"/>
  <c r="P33" i="8"/>
  <c r="L57" i="2"/>
  <c r="F55" i="2"/>
  <c r="F43" i="2"/>
  <c r="F17" i="2"/>
  <c r="L17" i="2" s="1"/>
  <c r="P65" i="8"/>
  <c r="I69" i="2"/>
  <c r="K69" i="2"/>
  <c r="L65" i="2"/>
  <c r="P63" i="8"/>
  <c r="P59" i="8"/>
  <c r="E59" i="2"/>
  <c r="E55" i="2"/>
  <c r="P55" i="8"/>
  <c r="L53" i="2"/>
  <c r="E51" i="2"/>
  <c r="P51" i="8"/>
  <c r="L49" i="2"/>
  <c r="P47" i="8"/>
  <c r="E43" i="2"/>
  <c r="L43" i="2" s="1"/>
  <c r="P43" i="8"/>
  <c r="L41" i="2"/>
  <c r="E39" i="2"/>
  <c r="L39" i="2" s="1"/>
  <c r="P39" i="8"/>
  <c r="L37" i="2"/>
  <c r="E35" i="2"/>
  <c r="L35" i="2" s="1"/>
  <c r="P35" i="8"/>
  <c r="L33" i="2"/>
  <c r="P31" i="8"/>
  <c r="E31" i="2"/>
  <c r="L31" i="2" s="1"/>
  <c r="L29" i="2"/>
  <c r="E27" i="2"/>
  <c r="L27" i="2" s="1"/>
  <c r="P27" i="8"/>
  <c r="E23" i="2"/>
  <c r="L23" i="2" s="1"/>
  <c r="P23" i="8"/>
  <c r="P19" i="8"/>
  <c r="P15" i="8"/>
  <c r="P11" i="8"/>
  <c r="E11" i="2"/>
  <c r="L11" i="2" s="1"/>
  <c r="P53" i="8"/>
  <c r="P45" i="8"/>
  <c r="P37" i="8"/>
  <c r="P29" i="8"/>
  <c r="P21" i="8"/>
  <c r="F21" i="2"/>
  <c r="L21" i="2" s="1"/>
  <c r="E15" i="2"/>
  <c r="L15" i="2" s="1"/>
  <c r="F63" i="2"/>
  <c r="L63" i="2" s="1"/>
  <c r="F59" i="2"/>
  <c r="F51" i="2"/>
  <c r="F47" i="2"/>
  <c r="L47" i="2" s="1"/>
  <c r="F13" i="2"/>
  <c r="L19" i="2"/>
  <c r="F64" i="2"/>
  <c r="F52" i="2"/>
  <c r="L52" i="2" s="1"/>
  <c r="F44" i="2"/>
  <c r="F38" i="2"/>
  <c r="F36" i="2"/>
  <c r="F34" i="2"/>
  <c r="F32" i="2"/>
  <c r="F30" i="2"/>
  <c r="F26" i="2"/>
  <c r="F14" i="2"/>
  <c r="M66" i="8"/>
  <c r="I66" i="8"/>
  <c r="F56" i="2"/>
  <c r="L56" i="2" s="1"/>
  <c r="F48" i="2"/>
  <c r="T44" i="8"/>
  <c r="L13" i="2" l="1"/>
  <c r="L55" i="2"/>
  <c r="L14" i="2"/>
  <c r="L34" i="2"/>
  <c r="L51" i="2"/>
  <c r="L26" i="2"/>
  <c r="L30" i="2"/>
  <c r="L38" i="2"/>
  <c r="L64" i="2"/>
  <c r="L59" i="2"/>
  <c r="L44" i="2"/>
  <c r="F69" i="2"/>
  <c r="L10" i="2"/>
  <c r="L32" i="2"/>
  <c r="L36" i="2"/>
  <c r="L48" i="2"/>
  <c r="E69" i="2"/>
  <c r="L69" i="2" l="1"/>
  <c r="C11" i="8"/>
  <c r="E11" i="8"/>
  <c r="C12" i="8"/>
  <c r="E12" i="8"/>
  <c r="C13" i="8"/>
  <c r="E13" i="8"/>
  <c r="C14" i="8"/>
  <c r="E14" i="8"/>
  <c r="C15" i="8"/>
  <c r="E15" i="8"/>
  <c r="C16" i="8"/>
  <c r="E16" i="8"/>
  <c r="C17" i="8"/>
  <c r="E17" i="8"/>
  <c r="C18" i="8"/>
  <c r="E18" i="8"/>
  <c r="C19" i="8"/>
  <c r="E19" i="8"/>
  <c r="C20" i="8"/>
  <c r="E20" i="8"/>
  <c r="C21" i="8"/>
  <c r="E21" i="8"/>
  <c r="C22" i="8"/>
  <c r="E22" i="8"/>
  <c r="C23" i="8"/>
  <c r="E23" i="8"/>
  <c r="C24" i="8"/>
  <c r="E24" i="8"/>
  <c r="C25" i="8"/>
  <c r="E25" i="8"/>
  <c r="C26" i="8"/>
  <c r="E26" i="8"/>
  <c r="E27" i="8"/>
  <c r="H27" i="8" s="1"/>
  <c r="C28" i="8"/>
  <c r="E28" i="8"/>
  <c r="C29" i="8"/>
  <c r="E29" i="8"/>
  <c r="C30" i="8"/>
  <c r="E30" i="8"/>
  <c r="C31" i="8"/>
  <c r="E31" i="8"/>
  <c r="C32" i="8"/>
  <c r="E32" i="8"/>
  <c r="C33" i="8"/>
  <c r="E33" i="8"/>
  <c r="C34" i="8"/>
  <c r="E34" i="8"/>
  <c r="C35" i="8"/>
  <c r="E35" i="8"/>
  <c r="C36" i="8"/>
  <c r="E36" i="8"/>
  <c r="C37" i="8"/>
  <c r="E37" i="8"/>
  <c r="C38" i="8"/>
  <c r="E38" i="8"/>
  <c r="C39" i="8"/>
  <c r="E39" i="8"/>
  <c r="C40" i="8"/>
  <c r="E40" i="8"/>
  <c r="C41" i="8"/>
  <c r="E41" i="8"/>
  <c r="C42" i="8"/>
  <c r="E42" i="8"/>
  <c r="C43" i="8"/>
  <c r="E43" i="8"/>
  <c r="C44" i="8"/>
  <c r="E44" i="8"/>
  <c r="C45" i="8"/>
  <c r="E45" i="8"/>
  <c r="C46" i="8"/>
  <c r="E46" i="8"/>
  <c r="C47" i="8"/>
  <c r="E47" i="8"/>
  <c r="C79" i="8"/>
  <c r="E79" i="8"/>
  <c r="C48" i="8"/>
  <c r="E48" i="8"/>
  <c r="C49" i="8"/>
  <c r="E49" i="8"/>
  <c r="C50" i="8"/>
  <c r="E50" i="8"/>
  <c r="C51" i="8"/>
  <c r="E51" i="8"/>
  <c r="C52" i="8"/>
  <c r="E52" i="8"/>
  <c r="C53" i="8"/>
  <c r="E53" i="8"/>
  <c r="C54" i="8"/>
  <c r="E54" i="8"/>
  <c r="C55" i="8"/>
  <c r="E55" i="8"/>
  <c r="C56" i="8"/>
  <c r="E56" i="8"/>
  <c r="C57" i="8"/>
  <c r="E57" i="8"/>
  <c r="C58" i="8"/>
  <c r="E58" i="8"/>
  <c r="C59" i="8"/>
  <c r="E59" i="8"/>
  <c r="C60" i="8"/>
  <c r="E60" i="8"/>
  <c r="C61" i="8"/>
  <c r="E61" i="8"/>
  <c r="C62" i="8"/>
  <c r="E62" i="8"/>
  <c r="C63" i="8"/>
  <c r="E63" i="8"/>
  <c r="C64" i="8"/>
  <c r="E64" i="8"/>
  <c r="C65" i="8"/>
  <c r="E65" i="8"/>
  <c r="C10" i="8"/>
  <c r="H10" i="8" s="1"/>
  <c r="AW96" i="8"/>
  <c r="AF96" i="8"/>
  <c r="AL96" i="8" s="1"/>
  <c r="AL72" i="8"/>
  <c r="AS72" i="8" s="1"/>
  <c r="AL71" i="8"/>
  <c r="AS71" i="8" s="1"/>
  <c r="AR68" i="8"/>
  <c r="AQ68" i="8"/>
  <c r="AP68" i="8"/>
  <c r="AO68" i="8"/>
  <c r="AN68" i="8"/>
  <c r="AM68" i="8"/>
  <c r="AK68" i="8"/>
  <c r="AJ68" i="8"/>
  <c r="AI68" i="8"/>
  <c r="AH68" i="8"/>
  <c r="AG68" i="8"/>
  <c r="AL66" i="8"/>
  <c r="AV66" i="8" s="1"/>
  <c r="AW68" i="8"/>
  <c r="Z94" i="12"/>
  <c r="I94" i="12"/>
  <c r="O94" i="12" s="1"/>
  <c r="O70" i="12"/>
  <c r="V70" i="12" s="1"/>
  <c r="O69" i="12"/>
  <c r="V69" i="12" s="1"/>
  <c r="U66" i="12"/>
  <c r="T66" i="12"/>
  <c r="S66" i="12"/>
  <c r="R66" i="12"/>
  <c r="Q66" i="12"/>
  <c r="P66" i="12"/>
  <c r="N66" i="12"/>
  <c r="M66" i="12"/>
  <c r="L66" i="12"/>
  <c r="K66" i="12"/>
  <c r="J66" i="12"/>
  <c r="O64" i="12"/>
  <c r="Y64" i="12" s="1"/>
  <c r="Z63" i="12"/>
  <c r="I63" i="12"/>
  <c r="O63" i="12" s="1"/>
  <c r="Z62" i="12"/>
  <c r="I62" i="12"/>
  <c r="O62" i="12" s="1"/>
  <c r="V62" i="12" s="1"/>
  <c r="Z61" i="12"/>
  <c r="I61" i="12"/>
  <c r="O61" i="12" s="1"/>
  <c r="Z60" i="12"/>
  <c r="O60" i="12"/>
  <c r="V60" i="12" s="1"/>
  <c r="I60" i="12"/>
  <c r="Z59" i="12"/>
  <c r="I59" i="12"/>
  <c r="O59" i="12" s="1"/>
  <c r="Z58" i="12"/>
  <c r="I58" i="12"/>
  <c r="O58" i="12" s="1"/>
  <c r="V58" i="12" s="1"/>
  <c r="Z57" i="12"/>
  <c r="I57" i="12"/>
  <c r="O57" i="12" s="1"/>
  <c r="Z56" i="12"/>
  <c r="I56" i="12"/>
  <c r="O56" i="12" s="1"/>
  <c r="V56" i="12" s="1"/>
  <c r="Z55" i="12"/>
  <c r="I55" i="12"/>
  <c r="O55" i="12" s="1"/>
  <c r="Z54" i="12"/>
  <c r="I54" i="12"/>
  <c r="O54" i="12" s="1"/>
  <c r="Z53" i="12"/>
  <c r="I53" i="12"/>
  <c r="O53" i="12" s="1"/>
  <c r="Z52" i="12"/>
  <c r="I52" i="12"/>
  <c r="O52" i="12" s="1"/>
  <c r="Z51" i="12"/>
  <c r="I51" i="12"/>
  <c r="O51" i="12" s="1"/>
  <c r="V51" i="12" s="1"/>
  <c r="Z50" i="12"/>
  <c r="I50" i="12"/>
  <c r="O50" i="12" s="1"/>
  <c r="Z49" i="12"/>
  <c r="I49" i="12"/>
  <c r="O49" i="12" s="1"/>
  <c r="V49" i="12" s="1"/>
  <c r="Z48" i="12"/>
  <c r="I48" i="12"/>
  <c r="O48" i="12" s="1"/>
  <c r="Z47" i="12"/>
  <c r="I47" i="12"/>
  <c r="O47" i="12" s="1"/>
  <c r="Z46" i="12"/>
  <c r="H46" i="12"/>
  <c r="I46" i="12" s="1"/>
  <c r="O46" i="12" s="1"/>
  <c r="Z45" i="12"/>
  <c r="V45" i="12"/>
  <c r="I45" i="12"/>
  <c r="O45" i="12" s="1"/>
  <c r="Z44" i="12"/>
  <c r="I44" i="12"/>
  <c r="O44" i="12" s="1"/>
  <c r="V44" i="12" s="1"/>
  <c r="Z43" i="12"/>
  <c r="I43" i="12"/>
  <c r="O43" i="12" s="1"/>
  <c r="Z42" i="12"/>
  <c r="O42" i="12"/>
  <c r="V42" i="12" s="1"/>
  <c r="I42" i="12"/>
  <c r="Z41" i="12"/>
  <c r="I41" i="12"/>
  <c r="O41" i="12" s="1"/>
  <c r="Z40" i="12"/>
  <c r="I40" i="12"/>
  <c r="O40" i="12" s="1"/>
  <c r="V40" i="12" s="1"/>
  <c r="Z39" i="12"/>
  <c r="I39" i="12"/>
  <c r="O39" i="12" s="1"/>
  <c r="H39" i="12"/>
  <c r="Z38" i="12"/>
  <c r="I38" i="12"/>
  <c r="O38" i="12" s="1"/>
  <c r="Z37" i="12"/>
  <c r="I37" i="12"/>
  <c r="O37" i="12" s="1"/>
  <c r="V37" i="12" s="1"/>
  <c r="Z36" i="12"/>
  <c r="I36" i="12"/>
  <c r="O36" i="12" s="1"/>
  <c r="Z35" i="12"/>
  <c r="I35" i="12"/>
  <c r="O35" i="12" s="1"/>
  <c r="V35" i="12" s="1"/>
  <c r="Z34" i="12"/>
  <c r="I34" i="12"/>
  <c r="O34" i="12" s="1"/>
  <c r="Z33" i="12"/>
  <c r="I33" i="12"/>
  <c r="O33" i="12" s="1"/>
  <c r="V33" i="12" s="1"/>
  <c r="Z32" i="12"/>
  <c r="I32" i="12"/>
  <c r="O32" i="12" s="1"/>
  <c r="Z31" i="12"/>
  <c r="O31" i="12"/>
  <c r="V31" i="12" s="1"/>
  <c r="I31" i="12"/>
  <c r="Z30" i="12"/>
  <c r="I30" i="12"/>
  <c r="O30" i="12" s="1"/>
  <c r="Z29" i="12"/>
  <c r="I29" i="12"/>
  <c r="O29" i="12" s="1"/>
  <c r="V29" i="12" s="1"/>
  <c r="Z28" i="12"/>
  <c r="I28" i="12"/>
  <c r="O28" i="12" s="1"/>
  <c r="Z27" i="12"/>
  <c r="I27" i="12"/>
  <c r="O27" i="12" s="1"/>
  <c r="V27" i="12" s="1"/>
  <c r="Z26" i="12"/>
  <c r="I26" i="12"/>
  <c r="O26" i="12" s="1"/>
  <c r="Z25" i="12"/>
  <c r="I25" i="12"/>
  <c r="O25" i="12" s="1"/>
  <c r="V25" i="12" s="1"/>
  <c r="I24" i="12"/>
  <c r="O24" i="12" s="1"/>
  <c r="Z23" i="12"/>
  <c r="I23" i="12"/>
  <c r="O23" i="12" s="1"/>
  <c r="Z22" i="12"/>
  <c r="I22" i="12"/>
  <c r="O22" i="12" s="1"/>
  <c r="V22" i="12" s="1"/>
  <c r="Z21" i="12"/>
  <c r="I21" i="12"/>
  <c r="O21" i="12" s="1"/>
  <c r="Z20" i="12"/>
  <c r="I20" i="12"/>
  <c r="O20" i="12" s="1"/>
  <c r="Z19" i="12"/>
  <c r="I19" i="12"/>
  <c r="O19" i="12" s="1"/>
  <c r="V19" i="12" s="1"/>
  <c r="Z18" i="12"/>
  <c r="I18" i="12"/>
  <c r="O18" i="12" s="1"/>
  <c r="V18" i="12" s="1"/>
  <c r="Z17" i="12"/>
  <c r="I17" i="12"/>
  <c r="O17" i="12" s="1"/>
  <c r="V17" i="12" s="1"/>
  <c r="Z16" i="12"/>
  <c r="I16" i="12"/>
  <c r="O16" i="12" s="1"/>
  <c r="Z15" i="12"/>
  <c r="I15" i="12"/>
  <c r="O15" i="12" s="1"/>
  <c r="V15" i="12" s="1"/>
  <c r="Z14" i="12"/>
  <c r="I14" i="12"/>
  <c r="O14" i="12" s="1"/>
  <c r="Z13" i="12"/>
  <c r="O13" i="12"/>
  <c r="V13" i="12" s="1"/>
  <c r="I13" i="12"/>
  <c r="Z12" i="12"/>
  <c r="I12" i="12"/>
  <c r="O12" i="12" s="1"/>
  <c r="Z11" i="12"/>
  <c r="I11" i="12"/>
  <c r="O11" i="12" s="1"/>
  <c r="V11" i="12" s="1"/>
  <c r="Z10" i="12"/>
  <c r="I10" i="12"/>
  <c r="O10" i="12" s="1"/>
  <c r="Z9" i="12"/>
  <c r="I9" i="12"/>
  <c r="O9" i="12" s="1"/>
  <c r="V9" i="12" s="1"/>
  <c r="Z8" i="12"/>
  <c r="I8" i="12"/>
  <c r="O8" i="12" s="1"/>
  <c r="Z7" i="12"/>
  <c r="I7" i="12"/>
  <c r="H5" i="4"/>
  <c r="H65" i="8" l="1"/>
  <c r="Q65" i="8" s="1"/>
  <c r="H61" i="8"/>
  <c r="C61" i="2" s="1"/>
  <c r="D61" i="2" s="1"/>
  <c r="M61" i="2" s="1"/>
  <c r="H59" i="8"/>
  <c r="C59" i="2" s="1"/>
  <c r="D59" i="2" s="1"/>
  <c r="M59" i="2" s="1"/>
  <c r="H55" i="8"/>
  <c r="R55" i="8" s="1"/>
  <c r="U55" i="8" s="1"/>
  <c r="V55" i="8" s="1"/>
  <c r="W55" i="8" s="1"/>
  <c r="H51" i="8"/>
  <c r="Q51" i="8" s="1"/>
  <c r="H46" i="8"/>
  <c r="C46" i="2" s="1"/>
  <c r="D46" i="2" s="1"/>
  <c r="M46" i="2" s="1"/>
  <c r="H40" i="8"/>
  <c r="C40" i="2" s="1"/>
  <c r="D40" i="2" s="1"/>
  <c r="M40" i="2" s="1"/>
  <c r="H34" i="8"/>
  <c r="Q34" i="8" s="1"/>
  <c r="H63" i="8"/>
  <c r="Q63" i="8" s="1"/>
  <c r="H57" i="8"/>
  <c r="C57" i="2" s="1"/>
  <c r="D57" i="2" s="1"/>
  <c r="M57" i="2" s="1"/>
  <c r="H53" i="8"/>
  <c r="Q53" i="8" s="1"/>
  <c r="H49" i="8"/>
  <c r="Q49" i="8" s="1"/>
  <c r="H44" i="8"/>
  <c r="R44" i="8" s="1"/>
  <c r="U44" i="8" s="1"/>
  <c r="V44" i="8" s="1"/>
  <c r="W44" i="8" s="1"/>
  <c r="H42" i="8"/>
  <c r="C42" i="2" s="1"/>
  <c r="D42" i="2" s="1"/>
  <c r="M42" i="2" s="1"/>
  <c r="H38" i="8"/>
  <c r="C38" i="2" s="1"/>
  <c r="D38" i="2" s="1"/>
  <c r="M38" i="2" s="1"/>
  <c r="H36" i="8"/>
  <c r="R36" i="8" s="1"/>
  <c r="U36" i="8" s="1"/>
  <c r="V36" i="8" s="1"/>
  <c r="W36" i="8" s="1"/>
  <c r="H32" i="8"/>
  <c r="R32" i="8" s="1"/>
  <c r="U32" i="8" s="1"/>
  <c r="V32" i="8" s="1"/>
  <c r="W32" i="8" s="1"/>
  <c r="H30" i="8"/>
  <c r="Q30" i="8" s="1"/>
  <c r="H28" i="8"/>
  <c r="C28" i="2" s="1"/>
  <c r="D28" i="2" s="1"/>
  <c r="M28" i="2" s="1"/>
  <c r="H26" i="8"/>
  <c r="R26" i="8" s="1"/>
  <c r="U26" i="8" s="1"/>
  <c r="V26" i="8" s="1"/>
  <c r="W26" i="8" s="1"/>
  <c r="H24" i="8"/>
  <c r="Q24" i="8" s="1"/>
  <c r="H22" i="8"/>
  <c r="Q22" i="8" s="1"/>
  <c r="H20" i="8"/>
  <c r="Q20" i="8" s="1"/>
  <c r="H18" i="8"/>
  <c r="R18" i="8" s="1"/>
  <c r="U18" i="8" s="1"/>
  <c r="V18" i="8" s="1"/>
  <c r="W18" i="8" s="1"/>
  <c r="H16" i="8"/>
  <c r="C16" i="2" s="1"/>
  <c r="D16" i="2" s="1"/>
  <c r="M16" i="2" s="1"/>
  <c r="H14" i="8"/>
  <c r="R14" i="8" s="1"/>
  <c r="U14" i="8" s="1"/>
  <c r="V14" i="8" s="1"/>
  <c r="W14" i="8" s="1"/>
  <c r="H12" i="8"/>
  <c r="R12" i="8" s="1"/>
  <c r="U12" i="8" s="1"/>
  <c r="V12" i="8" s="1"/>
  <c r="W12" i="8" s="1"/>
  <c r="E66" i="8"/>
  <c r="H25" i="8"/>
  <c r="H23" i="8"/>
  <c r="H19" i="8"/>
  <c r="H17" i="8"/>
  <c r="H15" i="8"/>
  <c r="H11" i="8"/>
  <c r="Z66" i="12"/>
  <c r="I66" i="12"/>
  <c r="C27" i="2"/>
  <c r="D27" i="2" s="1"/>
  <c r="R27" i="8"/>
  <c r="Q27" i="8"/>
  <c r="H21" i="8"/>
  <c r="H13" i="8"/>
  <c r="C10" i="2"/>
  <c r="Q10" i="8"/>
  <c r="R10" i="8"/>
  <c r="U10" i="8" s="1"/>
  <c r="V10" i="8" s="1"/>
  <c r="W10" i="8" s="1"/>
  <c r="H64" i="8"/>
  <c r="H62" i="8"/>
  <c r="H60" i="8"/>
  <c r="H58" i="8"/>
  <c r="H56" i="8"/>
  <c r="H54" i="8"/>
  <c r="H52" i="8"/>
  <c r="H50" i="8"/>
  <c r="H48" i="8"/>
  <c r="H47" i="8"/>
  <c r="H45" i="8"/>
  <c r="H43" i="8"/>
  <c r="H41" i="8"/>
  <c r="H39" i="8"/>
  <c r="H37" i="8"/>
  <c r="H35" i="8"/>
  <c r="H33" i="8"/>
  <c r="H31" i="8"/>
  <c r="H29" i="8"/>
  <c r="AF68" i="8"/>
  <c r="AV71" i="8"/>
  <c r="AX71" i="8" s="1"/>
  <c r="AT71" i="8"/>
  <c r="AU71" i="8"/>
  <c r="AS96" i="8"/>
  <c r="AV96" i="8"/>
  <c r="AX96" i="8" s="1"/>
  <c r="AT96" i="8"/>
  <c r="AV72" i="8"/>
  <c r="AX72" i="8" s="1"/>
  <c r="AT72" i="8"/>
  <c r="AU72" i="8"/>
  <c r="AS66" i="8"/>
  <c r="AX66" i="8"/>
  <c r="AT66" i="8"/>
  <c r="Y8" i="12"/>
  <c r="AA8" i="12" s="1"/>
  <c r="W8" i="12"/>
  <c r="V8" i="12"/>
  <c r="X8" i="12" s="1"/>
  <c r="AD8" i="12" s="1"/>
  <c r="Y12" i="12"/>
  <c r="AA12" i="12" s="1"/>
  <c r="W12" i="12"/>
  <c r="V12" i="12"/>
  <c r="Y16" i="12"/>
  <c r="AA16" i="12" s="1"/>
  <c r="W16" i="12"/>
  <c r="V16" i="12"/>
  <c r="X16" i="12" s="1"/>
  <c r="AD16" i="12" s="1"/>
  <c r="AA10" i="12"/>
  <c r="Y10" i="12"/>
  <c r="W10" i="12"/>
  <c r="V10" i="12"/>
  <c r="Y14" i="12"/>
  <c r="AA14" i="12" s="1"/>
  <c r="W14" i="12"/>
  <c r="V14" i="12"/>
  <c r="X14" i="12" s="1"/>
  <c r="AD14" i="12" s="1"/>
  <c r="O7" i="12"/>
  <c r="W9" i="12"/>
  <c r="X9" i="12" s="1"/>
  <c r="AD9" i="12" s="1"/>
  <c r="Y9" i="12"/>
  <c r="AA9" i="12" s="1"/>
  <c r="W11" i="12"/>
  <c r="X11" i="12" s="1"/>
  <c r="AD11" i="12" s="1"/>
  <c r="Y11" i="12"/>
  <c r="AA11" i="12"/>
  <c r="W13" i="12"/>
  <c r="X13" i="12" s="1"/>
  <c r="AD13" i="12" s="1"/>
  <c r="Y13" i="12"/>
  <c r="AA13" i="12" s="1"/>
  <c r="W15" i="12"/>
  <c r="X15" i="12" s="1"/>
  <c r="AD15" i="12" s="1"/>
  <c r="Y15" i="12"/>
  <c r="AA15" i="12" s="1"/>
  <c r="Y17" i="12"/>
  <c r="AA17" i="12" s="1"/>
  <c r="Y20" i="12"/>
  <c r="AA20" i="12" s="1"/>
  <c r="W20" i="12"/>
  <c r="V20" i="12"/>
  <c r="Y21" i="12"/>
  <c r="AA21" i="12" s="1"/>
  <c r="W21" i="12"/>
  <c r="V21" i="12"/>
  <c r="X21" i="12" s="1"/>
  <c r="AD21" i="12" s="1"/>
  <c r="Y26" i="12"/>
  <c r="AA26" i="12" s="1"/>
  <c r="W26" i="12"/>
  <c r="V26" i="12"/>
  <c r="X26" i="12" s="1"/>
  <c r="AD26" i="12" s="1"/>
  <c r="AA30" i="12"/>
  <c r="Y30" i="12"/>
  <c r="W30" i="12"/>
  <c r="V30" i="12"/>
  <c r="Y34" i="12"/>
  <c r="AA34" i="12" s="1"/>
  <c r="W34" i="12"/>
  <c r="V34" i="12"/>
  <c r="X34" i="12" s="1"/>
  <c r="AD34" i="12" s="1"/>
  <c r="Y38" i="12"/>
  <c r="AA38" i="12" s="1"/>
  <c r="W38" i="12"/>
  <c r="V38" i="12"/>
  <c r="Y41" i="12"/>
  <c r="AA41" i="12" s="1"/>
  <c r="W41" i="12"/>
  <c r="V41" i="12"/>
  <c r="W17" i="12"/>
  <c r="X17" i="12" s="1"/>
  <c r="AD17" i="12" s="1"/>
  <c r="Y18" i="12"/>
  <c r="AA18" i="12" s="1"/>
  <c r="W18" i="12"/>
  <c r="X18" i="12" s="1"/>
  <c r="AD18" i="12" s="1"/>
  <c r="Y23" i="12"/>
  <c r="AA23" i="12" s="1"/>
  <c r="W23" i="12"/>
  <c r="V23" i="12"/>
  <c r="X23" i="12" s="1"/>
  <c r="AD23" i="12" s="1"/>
  <c r="Y28" i="12"/>
  <c r="AA28" i="12" s="1"/>
  <c r="W28" i="12"/>
  <c r="V28" i="12"/>
  <c r="Y32" i="12"/>
  <c r="AA32" i="12" s="1"/>
  <c r="W32" i="12"/>
  <c r="V32" i="12"/>
  <c r="X32" i="12" s="1"/>
  <c r="AD32" i="12" s="1"/>
  <c r="Y36" i="12"/>
  <c r="AA36" i="12" s="1"/>
  <c r="W36" i="12"/>
  <c r="V36" i="12"/>
  <c r="Y39" i="12"/>
  <c r="AA39" i="12" s="1"/>
  <c r="W39" i="12"/>
  <c r="V39" i="12"/>
  <c r="Y43" i="12"/>
  <c r="AA43" i="12" s="1"/>
  <c r="W43" i="12"/>
  <c r="V43" i="12"/>
  <c r="X43" i="12" s="1"/>
  <c r="AD43" i="12" s="1"/>
  <c r="W19" i="12"/>
  <c r="X19" i="12" s="1"/>
  <c r="AD19" i="12" s="1"/>
  <c r="Y19" i="12"/>
  <c r="AA19" i="12"/>
  <c r="W22" i="12"/>
  <c r="X22" i="12" s="1"/>
  <c r="AD22" i="12" s="1"/>
  <c r="Y22" i="12"/>
  <c r="AA22" i="12" s="1"/>
  <c r="W24" i="12"/>
  <c r="Y24" i="12"/>
  <c r="AA24" i="12" s="1"/>
  <c r="W25" i="12"/>
  <c r="X25" i="12" s="1"/>
  <c r="AD25" i="12" s="1"/>
  <c r="Y25" i="12"/>
  <c r="AA25" i="12" s="1"/>
  <c r="W27" i="12"/>
  <c r="X27" i="12" s="1"/>
  <c r="AD27" i="12" s="1"/>
  <c r="Y27" i="12"/>
  <c r="AA27" i="12" s="1"/>
  <c r="W29" i="12"/>
  <c r="X29" i="12" s="1"/>
  <c r="AD29" i="12" s="1"/>
  <c r="Y29" i="12"/>
  <c r="AA29" i="12"/>
  <c r="W31" i="12"/>
  <c r="X31" i="12" s="1"/>
  <c r="AD31" i="12" s="1"/>
  <c r="Y31" i="12"/>
  <c r="AA31" i="12" s="1"/>
  <c r="W33" i="12"/>
  <c r="X33" i="12" s="1"/>
  <c r="AD33" i="12" s="1"/>
  <c r="Y33" i="12"/>
  <c r="AA33" i="12"/>
  <c r="W35" i="12"/>
  <c r="X35" i="12" s="1"/>
  <c r="AD35" i="12" s="1"/>
  <c r="Y35" i="12"/>
  <c r="AA35" i="12" s="1"/>
  <c r="W37" i="12"/>
  <c r="X37" i="12" s="1"/>
  <c r="AD37" i="12" s="1"/>
  <c r="Y37" i="12"/>
  <c r="AA37" i="12"/>
  <c r="W40" i="12"/>
  <c r="X40" i="12" s="1"/>
  <c r="AD40" i="12" s="1"/>
  <c r="Y40" i="12"/>
  <c r="AA40" i="12" s="1"/>
  <c r="W42" i="12"/>
  <c r="X42" i="12" s="1"/>
  <c r="AD42" i="12" s="1"/>
  <c r="Y42" i="12"/>
  <c r="AA42" i="12" s="1"/>
  <c r="W44" i="12"/>
  <c r="X44" i="12" s="1"/>
  <c r="AD44" i="12" s="1"/>
  <c r="Y44" i="12"/>
  <c r="AA44" i="12" s="1"/>
  <c r="AA46" i="12"/>
  <c r="Y46" i="12"/>
  <c r="W46" i="12"/>
  <c r="V46" i="12"/>
  <c r="V47" i="12"/>
  <c r="X47" i="12" s="1"/>
  <c r="AD47" i="12" s="1"/>
  <c r="Y47" i="12"/>
  <c r="AA47" i="12" s="1"/>
  <c r="W47" i="12"/>
  <c r="Y48" i="12"/>
  <c r="AA48" i="12" s="1"/>
  <c r="W48" i="12"/>
  <c r="V48" i="12"/>
  <c r="Y52" i="12"/>
  <c r="AA52" i="12" s="1"/>
  <c r="W52" i="12"/>
  <c r="V52" i="12"/>
  <c r="Y53" i="12"/>
  <c r="AA53" i="12" s="1"/>
  <c r="W53" i="12"/>
  <c r="V53" i="12"/>
  <c r="X53" i="12" s="1"/>
  <c r="AD53" i="12" s="1"/>
  <c r="V54" i="12"/>
  <c r="Y54" i="12"/>
  <c r="AA54" i="12" s="1"/>
  <c r="W54" i="12"/>
  <c r="Y55" i="12"/>
  <c r="AA55" i="12" s="1"/>
  <c r="W55" i="12"/>
  <c r="V55" i="12"/>
  <c r="X55" i="12" s="1"/>
  <c r="AD55" i="12" s="1"/>
  <c r="AA59" i="12"/>
  <c r="Y59" i="12"/>
  <c r="W59" i="12"/>
  <c r="V59" i="12"/>
  <c r="X62" i="12"/>
  <c r="AD62" i="12" s="1"/>
  <c r="Y63" i="12"/>
  <c r="AA63" i="12" s="1"/>
  <c r="W63" i="12"/>
  <c r="V63" i="12"/>
  <c r="X63" i="12" s="1"/>
  <c r="AD63" i="12" s="1"/>
  <c r="Y69" i="12"/>
  <c r="AA69" i="12" s="1"/>
  <c r="W69" i="12"/>
  <c r="X69" i="12"/>
  <c r="V94" i="12"/>
  <c r="Y94" i="12"/>
  <c r="AA94" i="12" s="1"/>
  <c r="W94" i="12"/>
  <c r="V24" i="12"/>
  <c r="X24" i="12" s="1"/>
  <c r="AD24" i="12" s="1"/>
  <c r="Y45" i="12"/>
  <c r="AA45" i="12" s="1"/>
  <c r="W45" i="12"/>
  <c r="X45" i="12" s="1"/>
  <c r="AD45" i="12" s="1"/>
  <c r="AA50" i="12"/>
  <c r="Y50" i="12"/>
  <c r="W50" i="12"/>
  <c r="V50" i="12"/>
  <c r="Y57" i="12"/>
  <c r="AA57" i="12" s="1"/>
  <c r="W57" i="12"/>
  <c r="V57" i="12"/>
  <c r="X57" i="12" s="1"/>
  <c r="AD57" i="12" s="1"/>
  <c r="Y61" i="12"/>
  <c r="AA61" i="12" s="1"/>
  <c r="W61" i="12"/>
  <c r="V61" i="12"/>
  <c r="Y70" i="12"/>
  <c r="AA70" i="12" s="1"/>
  <c r="W70" i="12"/>
  <c r="X70" i="12"/>
  <c r="W49" i="12"/>
  <c r="X49" i="12" s="1"/>
  <c r="AD49" i="12" s="1"/>
  <c r="Y49" i="12"/>
  <c r="AA49" i="12"/>
  <c r="W51" i="12"/>
  <c r="X51" i="12" s="1"/>
  <c r="AD51" i="12" s="1"/>
  <c r="Y51" i="12"/>
  <c r="AA51" i="12" s="1"/>
  <c r="W56" i="12"/>
  <c r="X56" i="12" s="1"/>
  <c r="AD56" i="12" s="1"/>
  <c r="Y56" i="12"/>
  <c r="AA56" i="12" s="1"/>
  <c r="W58" i="12"/>
  <c r="X58" i="12" s="1"/>
  <c r="AD58" i="12" s="1"/>
  <c r="Y58" i="12"/>
  <c r="AA58" i="12" s="1"/>
  <c r="W60" i="12"/>
  <c r="X60" i="12" s="1"/>
  <c r="AD60" i="12" s="1"/>
  <c r="Y60" i="12"/>
  <c r="AA60" i="12"/>
  <c r="W62" i="12"/>
  <c r="Y62" i="12"/>
  <c r="AA62" i="12" s="1"/>
  <c r="V64" i="12"/>
  <c r="AA64" i="12"/>
  <c r="W64" i="12"/>
  <c r="Q44" i="8" l="1"/>
  <c r="R51" i="8"/>
  <c r="U51" i="8" s="1"/>
  <c r="V51" i="8" s="1"/>
  <c r="W51" i="8" s="1"/>
  <c r="R63" i="8"/>
  <c r="U63" i="8" s="1"/>
  <c r="V63" i="8" s="1"/>
  <c r="W63" i="8" s="1"/>
  <c r="C34" i="2"/>
  <c r="D34" i="2" s="1"/>
  <c r="M34" i="2" s="1"/>
  <c r="R30" i="8"/>
  <c r="U30" i="8" s="1"/>
  <c r="V30" i="8" s="1"/>
  <c r="W30" i="8" s="1"/>
  <c r="Q61" i="8"/>
  <c r="C30" i="2"/>
  <c r="D30" i="2" s="1"/>
  <c r="M30" i="2" s="1"/>
  <c r="Q38" i="8"/>
  <c r="C65" i="2"/>
  <c r="D65" i="2" s="1"/>
  <c r="M65" i="2" s="1"/>
  <c r="R20" i="8"/>
  <c r="U20" i="8" s="1"/>
  <c r="V20" i="8" s="1"/>
  <c r="W20" i="8" s="1"/>
  <c r="R57" i="8"/>
  <c r="U57" i="8" s="1"/>
  <c r="V57" i="8" s="1"/>
  <c r="W57" i="8" s="1"/>
  <c r="R46" i="8"/>
  <c r="U46" i="8" s="1"/>
  <c r="V46" i="8" s="1"/>
  <c r="W46" i="8" s="1"/>
  <c r="Q42" i="8"/>
  <c r="C22" i="2"/>
  <c r="D22" i="2" s="1"/>
  <c r="M22" i="2" s="1"/>
  <c r="Q46" i="8"/>
  <c r="R61" i="8"/>
  <c r="U61" i="8" s="1"/>
  <c r="V61" i="8" s="1"/>
  <c r="W61" i="8" s="1"/>
  <c r="R42" i="8"/>
  <c r="U42" i="8" s="1"/>
  <c r="V42" i="8" s="1"/>
  <c r="W42" i="8" s="1"/>
  <c r="Q57" i="8"/>
  <c r="C14" i="2"/>
  <c r="D14" i="2" s="1"/>
  <c r="M14" i="2" s="1"/>
  <c r="Q59" i="8"/>
  <c r="R53" i="8"/>
  <c r="U53" i="8" s="1"/>
  <c r="V53" i="8" s="1"/>
  <c r="W53" i="8" s="1"/>
  <c r="R38" i="8"/>
  <c r="U38" i="8" s="1"/>
  <c r="V38" i="8" s="1"/>
  <c r="W38" i="8" s="1"/>
  <c r="C12" i="2"/>
  <c r="D12" i="2" s="1"/>
  <c r="M12" i="2" s="1"/>
  <c r="R28" i="8"/>
  <c r="U28" i="8" s="1"/>
  <c r="V28" i="8" s="1"/>
  <c r="W28" i="8" s="1"/>
  <c r="C63" i="2"/>
  <c r="D63" i="2" s="1"/>
  <c r="M63" i="2" s="1"/>
  <c r="Q16" i="8"/>
  <c r="C32" i="2"/>
  <c r="D32" i="2" s="1"/>
  <c r="M32" i="2" s="1"/>
  <c r="C44" i="2"/>
  <c r="D44" i="2" s="1"/>
  <c r="M44" i="2" s="1"/>
  <c r="C51" i="2"/>
  <c r="D51" i="2" s="1"/>
  <c r="M51" i="2" s="1"/>
  <c r="R65" i="8"/>
  <c r="U65" i="8" s="1"/>
  <c r="V65" i="8" s="1"/>
  <c r="W65" i="8" s="1"/>
  <c r="R16" i="8"/>
  <c r="U16" i="8" s="1"/>
  <c r="V16" i="8" s="1"/>
  <c r="W16" i="8" s="1"/>
  <c r="R24" i="8"/>
  <c r="U24" i="8" s="1"/>
  <c r="V24" i="8" s="1"/>
  <c r="W24" i="8" s="1"/>
  <c r="Q32" i="8"/>
  <c r="C49" i="2"/>
  <c r="D49" i="2" s="1"/>
  <c r="M49" i="2" s="1"/>
  <c r="C53" i="2"/>
  <c r="D53" i="2" s="1"/>
  <c r="M53" i="2" s="1"/>
  <c r="Q12" i="8"/>
  <c r="Q26" i="8"/>
  <c r="R40" i="8"/>
  <c r="U40" i="8" s="1"/>
  <c r="V40" i="8" s="1"/>
  <c r="W40" i="8" s="1"/>
  <c r="R59" i="8"/>
  <c r="U59" i="8" s="1"/>
  <c r="V59" i="8" s="1"/>
  <c r="W59" i="8" s="1"/>
  <c r="C36" i="2"/>
  <c r="D36" i="2" s="1"/>
  <c r="M36" i="2" s="1"/>
  <c r="Q55" i="8"/>
  <c r="Q36" i="8"/>
  <c r="Q18" i="8"/>
  <c r="Q28" i="8"/>
  <c r="R34" i="8"/>
  <c r="U34" i="8" s="1"/>
  <c r="V34" i="8" s="1"/>
  <c r="W34" i="8" s="1"/>
  <c r="Q40" i="8"/>
  <c r="C55" i="2"/>
  <c r="D55" i="2" s="1"/>
  <c r="M55" i="2" s="1"/>
  <c r="C26" i="2"/>
  <c r="D26" i="2" s="1"/>
  <c r="M26" i="2" s="1"/>
  <c r="R49" i="8"/>
  <c r="U49" i="8" s="1"/>
  <c r="V49" i="8" s="1"/>
  <c r="W49" i="8" s="1"/>
  <c r="C18" i="2"/>
  <c r="D18" i="2" s="1"/>
  <c r="M18" i="2" s="1"/>
  <c r="H66" i="8"/>
  <c r="Q14" i="8"/>
  <c r="R22" i="8"/>
  <c r="U22" i="8" s="1"/>
  <c r="V22" i="8" s="1"/>
  <c r="W22" i="8" s="1"/>
  <c r="C24" i="2"/>
  <c r="D24" i="2" s="1"/>
  <c r="M24" i="2" s="1"/>
  <c r="R41" i="8"/>
  <c r="U41" i="8" s="1"/>
  <c r="V41" i="8" s="1"/>
  <c r="W41" i="8" s="1"/>
  <c r="Q41" i="8"/>
  <c r="C41" i="2"/>
  <c r="D41" i="2" s="1"/>
  <c r="M41" i="2" s="1"/>
  <c r="R48" i="8"/>
  <c r="U48" i="8" s="1"/>
  <c r="V48" i="8" s="1"/>
  <c r="W48" i="8" s="1"/>
  <c r="Q48" i="8"/>
  <c r="C48" i="2"/>
  <c r="D48" i="2" s="1"/>
  <c r="M48" i="2" s="1"/>
  <c r="R64" i="8"/>
  <c r="U64" i="8" s="1"/>
  <c r="V64" i="8" s="1"/>
  <c r="W64" i="8" s="1"/>
  <c r="Q64" i="8"/>
  <c r="C64" i="2"/>
  <c r="D64" i="2" s="1"/>
  <c r="M64" i="2" s="1"/>
  <c r="U27" i="8"/>
  <c r="V27" i="8" s="1"/>
  <c r="W27" i="8" s="1"/>
  <c r="AA7" i="12"/>
  <c r="C35" i="2"/>
  <c r="D35" i="2" s="1"/>
  <c r="M35" i="2" s="1"/>
  <c r="R35" i="8"/>
  <c r="U35" i="8" s="1"/>
  <c r="V35" i="8" s="1"/>
  <c r="W35" i="8" s="1"/>
  <c r="Q35" i="8"/>
  <c r="R50" i="8"/>
  <c r="U50" i="8" s="1"/>
  <c r="V50" i="8" s="1"/>
  <c r="W50" i="8" s="1"/>
  <c r="Q50" i="8"/>
  <c r="C50" i="2"/>
  <c r="D50" i="2" s="1"/>
  <c r="M50" i="2" s="1"/>
  <c r="M27" i="2"/>
  <c r="R11" i="8"/>
  <c r="U11" i="8" s="1"/>
  <c r="V11" i="8" s="1"/>
  <c r="W11" i="8" s="1"/>
  <c r="C11" i="2"/>
  <c r="D11" i="2" s="1"/>
  <c r="M11" i="2" s="1"/>
  <c r="Q11" i="8"/>
  <c r="X64" i="12"/>
  <c r="X52" i="12"/>
  <c r="X41" i="12"/>
  <c r="AD41" i="12" s="1"/>
  <c r="X20" i="12"/>
  <c r="C31" i="2"/>
  <c r="D31" i="2" s="1"/>
  <c r="M31" i="2" s="1"/>
  <c r="Q31" i="8"/>
  <c r="R31" i="8"/>
  <c r="U31" i="8" s="1"/>
  <c r="V31" i="8" s="1"/>
  <c r="W31" i="8" s="1"/>
  <c r="C39" i="2"/>
  <c r="D39" i="2" s="1"/>
  <c r="M39" i="2" s="1"/>
  <c r="R39" i="8"/>
  <c r="U39" i="8" s="1"/>
  <c r="V39" i="8" s="1"/>
  <c r="W39" i="8" s="1"/>
  <c r="C47" i="2"/>
  <c r="D47" i="2" s="1"/>
  <c r="M47" i="2" s="1"/>
  <c r="R47" i="8"/>
  <c r="U47" i="8" s="1"/>
  <c r="V47" i="8" s="1"/>
  <c r="W47" i="8" s="1"/>
  <c r="Q47" i="8"/>
  <c r="Q54" i="8"/>
  <c r="R54" i="8"/>
  <c r="U54" i="8" s="1"/>
  <c r="V54" i="8" s="1"/>
  <c r="W54" i="8" s="1"/>
  <c r="C54" i="2"/>
  <c r="D54" i="2" s="1"/>
  <c r="M54" i="2" s="1"/>
  <c r="Q62" i="8"/>
  <c r="R62" i="8"/>
  <c r="U62" i="8" s="1"/>
  <c r="V62" i="8" s="1"/>
  <c r="W62" i="8" s="1"/>
  <c r="C62" i="2"/>
  <c r="D62" i="2" s="1"/>
  <c r="M62" i="2" s="1"/>
  <c r="R17" i="8"/>
  <c r="U17" i="8" s="1"/>
  <c r="V17" i="8" s="1"/>
  <c r="W17" i="8" s="1"/>
  <c r="Q17" i="8"/>
  <c r="R33" i="8"/>
  <c r="U33" i="8" s="1"/>
  <c r="V33" i="8" s="1"/>
  <c r="W33" i="8" s="1"/>
  <c r="C33" i="2"/>
  <c r="D33" i="2" s="1"/>
  <c r="M33" i="2" s="1"/>
  <c r="Q33" i="8"/>
  <c r="R56" i="8"/>
  <c r="U56" i="8" s="1"/>
  <c r="V56" i="8" s="1"/>
  <c r="W56" i="8" s="1"/>
  <c r="Q56" i="8"/>
  <c r="C56" i="2"/>
  <c r="D56" i="2" s="1"/>
  <c r="M56" i="2" s="1"/>
  <c r="R19" i="8"/>
  <c r="U19" i="8" s="1"/>
  <c r="V19" i="8" s="1"/>
  <c r="W19" i="8" s="1"/>
  <c r="Q19" i="8"/>
  <c r="C19" i="2"/>
  <c r="D19" i="2" s="1"/>
  <c r="M19" i="2" s="1"/>
  <c r="C43" i="2"/>
  <c r="D43" i="2" s="1"/>
  <c r="M43" i="2" s="1"/>
  <c r="R43" i="8"/>
  <c r="U43" i="8" s="1"/>
  <c r="V43" i="8" s="1"/>
  <c r="W43" i="8" s="1"/>
  <c r="Q43" i="8"/>
  <c r="Q58" i="8"/>
  <c r="R58" i="8"/>
  <c r="U58" i="8" s="1"/>
  <c r="V58" i="8" s="1"/>
  <c r="W58" i="8" s="1"/>
  <c r="C58" i="2"/>
  <c r="D58" i="2" s="1"/>
  <c r="M58" i="2" s="1"/>
  <c r="C13" i="2"/>
  <c r="D13" i="2" s="1"/>
  <c r="M13" i="2" s="1"/>
  <c r="R13" i="8"/>
  <c r="U13" i="8" s="1"/>
  <c r="V13" i="8" s="1"/>
  <c r="W13" i="8" s="1"/>
  <c r="Q13" i="8"/>
  <c r="R23" i="8"/>
  <c r="U23" i="8" s="1"/>
  <c r="V23" i="8" s="1"/>
  <c r="W23" i="8" s="1"/>
  <c r="Q23" i="8"/>
  <c r="C23" i="2"/>
  <c r="D23" i="2" s="1"/>
  <c r="M23" i="2" s="1"/>
  <c r="C29" i="2"/>
  <c r="D29" i="2" s="1"/>
  <c r="M29" i="2" s="1"/>
  <c r="R29" i="8"/>
  <c r="U29" i="8" s="1"/>
  <c r="V29" i="8" s="1"/>
  <c r="W29" i="8" s="1"/>
  <c r="Q29" i="8"/>
  <c r="C37" i="2"/>
  <c r="D37" i="2" s="1"/>
  <c r="M37" i="2" s="1"/>
  <c r="R37" i="8"/>
  <c r="U37" i="8" s="1"/>
  <c r="V37" i="8" s="1"/>
  <c r="W37" i="8" s="1"/>
  <c r="Q37" i="8"/>
  <c r="C45" i="2"/>
  <c r="D45" i="2" s="1"/>
  <c r="M45" i="2" s="1"/>
  <c r="R45" i="8"/>
  <c r="U45" i="8" s="1"/>
  <c r="V45" i="8" s="1"/>
  <c r="W45" i="8" s="1"/>
  <c r="Q45" i="8"/>
  <c r="R52" i="8"/>
  <c r="U52" i="8" s="1"/>
  <c r="V52" i="8" s="1"/>
  <c r="W52" i="8" s="1"/>
  <c r="Q52" i="8"/>
  <c r="C52" i="2"/>
  <c r="D52" i="2" s="1"/>
  <c r="M52" i="2" s="1"/>
  <c r="R60" i="8"/>
  <c r="U60" i="8" s="1"/>
  <c r="V60" i="8" s="1"/>
  <c r="W60" i="8" s="1"/>
  <c r="Q60" i="8"/>
  <c r="C60" i="2"/>
  <c r="D60" i="2" s="1"/>
  <c r="M60" i="2" s="1"/>
  <c r="C21" i="2"/>
  <c r="D21" i="2" s="1"/>
  <c r="M21" i="2" s="1"/>
  <c r="R21" i="8"/>
  <c r="U21" i="8" s="1"/>
  <c r="V21" i="8" s="1"/>
  <c r="W21" i="8" s="1"/>
  <c r="Q21" i="8"/>
  <c r="C15" i="2"/>
  <c r="D15" i="2" s="1"/>
  <c r="M15" i="2" s="1"/>
  <c r="R15" i="8"/>
  <c r="U15" i="8" s="1"/>
  <c r="V15" i="8" s="1"/>
  <c r="W15" i="8" s="1"/>
  <c r="Q15" i="8"/>
  <c r="C25" i="2"/>
  <c r="D25" i="2" s="1"/>
  <c r="M25" i="2" s="1"/>
  <c r="R25" i="8"/>
  <c r="U25" i="8" s="1"/>
  <c r="V25" i="8" s="1"/>
  <c r="W25" i="8" s="1"/>
  <c r="Q25" i="8"/>
  <c r="AU96" i="8"/>
  <c r="BA96" i="8" s="1"/>
  <c r="AX73" i="8"/>
  <c r="AL68" i="8"/>
  <c r="AV68" i="8"/>
  <c r="AT68" i="8"/>
  <c r="AT70" i="8" s="1"/>
  <c r="AU66" i="8"/>
  <c r="O66" i="12"/>
  <c r="V7" i="12"/>
  <c r="Y7" i="12"/>
  <c r="Y66" i="12" s="1"/>
  <c r="W7" i="12"/>
  <c r="W66" i="12" s="1"/>
  <c r="W68" i="12" s="1"/>
  <c r="X61" i="12"/>
  <c r="AD61" i="12" s="1"/>
  <c r="X50" i="12"/>
  <c r="AD50" i="12" s="1"/>
  <c r="X94" i="12"/>
  <c r="AD94" i="12" s="1"/>
  <c r="AA71" i="12"/>
  <c r="X59" i="12"/>
  <c r="AD59" i="12" s="1"/>
  <c r="X54" i="12"/>
  <c r="AD54" i="12" s="1"/>
  <c r="X48" i="12"/>
  <c r="AD48" i="12" s="1"/>
  <c r="X46" i="12"/>
  <c r="AD46" i="12" s="1"/>
  <c r="X39" i="12"/>
  <c r="AD39" i="12" s="1"/>
  <c r="X36" i="12"/>
  <c r="AD36" i="12" s="1"/>
  <c r="X28" i="12"/>
  <c r="AD28" i="12" s="1"/>
  <c r="X38" i="12"/>
  <c r="AD38" i="12" s="1"/>
  <c r="X30" i="12"/>
  <c r="AD30" i="12" s="1"/>
  <c r="X10" i="12"/>
  <c r="AD10" i="12" s="1"/>
  <c r="X12" i="12"/>
  <c r="AD12" i="12" s="1"/>
  <c r="R66" i="8" l="1"/>
  <c r="AS68" i="8"/>
  <c r="AX74" i="8"/>
  <c r="AX75" i="8" s="1"/>
  <c r="AX77" i="8" s="1"/>
  <c r="AX68" i="8"/>
  <c r="V66" i="12"/>
  <c r="X7" i="12"/>
  <c r="AA72" i="12"/>
  <c r="AA73" i="12" s="1"/>
  <c r="AA75" i="12" s="1"/>
  <c r="AA66" i="12"/>
  <c r="B4" i="2"/>
  <c r="B4" i="4"/>
  <c r="AU68" i="8" l="1"/>
  <c r="X66" i="12"/>
  <c r="AD7" i="12"/>
  <c r="T79" i="8" l="1"/>
  <c r="O2" i="2"/>
  <c r="C66" i="8"/>
  <c r="Q39" i="8" l="1"/>
  <c r="P66" i="8"/>
  <c r="N66" i="8"/>
  <c r="W69" i="8"/>
  <c r="T67" i="8"/>
  <c r="Q66" i="8" l="1"/>
  <c r="S79" i="8"/>
  <c r="U79" i="8" s="1"/>
  <c r="S66" i="8" l="1"/>
  <c r="R79" i="8" l="1"/>
  <c r="V79" i="8"/>
  <c r="W79" i="8" s="1"/>
  <c r="O66" i="8" l="1"/>
  <c r="T70" i="8" l="1"/>
  <c r="R70" i="8"/>
  <c r="U70" i="8" l="1"/>
  <c r="V70" i="8" s="1"/>
  <c r="W70" i="8" s="1"/>
  <c r="T66" i="8" l="1"/>
  <c r="V68" i="8" s="1"/>
  <c r="C20" i="2" l="1"/>
  <c r="D20" i="2" s="1"/>
  <c r="M20" i="2" s="1"/>
  <c r="U66" i="8"/>
  <c r="W66" i="8"/>
  <c r="V66" i="8"/>
  <c r="C17" i="2" l="1"/>
  <c r="H69" i="4"/>
  <c r="D17" i="2" l="1"/>
  <c r="M17" i="2" s="1"/>
  <c r="C69" i="2"/>
  <c r="D10" i="2"/>
  <c r="M10" i="2" l="1"/>
  <c r="D69" i="2"/>
  <c r="M69" i="2" l="1"/>
  <c r="U67" i="8"/>
  <c r="T68" i="8" s="1"/>
  <c r="V67" i="8" l="1"/>
  <c r="U68" i="8"/>
  <c r="V69" i="8" s="1"/>
  <c r="R67" i="8"/>
  <c r="R68" i="8" s="1"/>
</calcChain>
</file>

<file path=xl/comments1.xml><?xml version="1.0" encoding="utf-8"?>
<comments xmlns="http://schemas.openxmlformats.org/spreadsheetml/2006/main">
  <authors>
    <author>lily</author>
  </authors>
  <commentList>
    <comment ref="G12" authorId="0" shapeId="0">
      <text>
        <r>
          <rPr>
            <b/>
            <sz val="9"/>
            <color indexed="81"/>
            <rFont val="Tahoma"/>
            <family val="2"/>
          </rPr>
          <t>lily:</t>
        </r>
        <r>
          <rPr>
            <sz val="9"/>
            <color indexed="81"/>
            <rFont val="Tahoma"/>
            <family val="2"/>
          </rPr>
          <t xml:space="preserve">
12 HRS . EXTRA DOBLES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lily:</t>
        </r>
        <r>
          <rPr>
            <sz val="9"/>
            <color indexed="81"/>
            <rFont val="Tahoma"/>
            <family val="2"/>
          </rPr>
          <t xml:space="preserve">
12 HRS . EXTRA DOBLES
</t>
        </r>
      </text>
    </comment>
  </commentList>
</comments>
</file>

<file path=xl/sharedStrings.xml><?xml version="1.0" encoding="utf-8"?>
<sst xmlns="http://schemas.openxmlformats.org/spreadsheetml/2006/main" count="1667" uniqueCount="328">
  <si>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</si>
  <si>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</si>
  <si>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</si>
  <si>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</si>
  <si>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</si>
  <si>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</si>
  <si>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</si>
  <si>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</si>
  <si>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</si>
  <si>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</si>
  <si>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</si>
  <si>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</si>
  <si>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</si>
  <si>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</si>
  <si>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>AT09</t>
  </si>
  <si>
    <t>Aguillon Torres Jonathan Ramiro</t>
  </si>
  <si>
    <t>AC19</t>
  </si>
  <si>
    <t>Arias Cortes Ricardo</t>
  </si>
  <si>
    <t>AJ28</t>
  </si>
  <si>
    <t>Avendaño Jauregui Mauricio</t>
  </si>
  <si>
    <t>BS07</t>
  </si>
  <si>
    <t>Balbuena Salazar Patricia</t>
  </si>
  <si>
    <t>BC09</t>
  </si>
  <si>
    <t>Baltazar Cruz Desiree De Jesus</t>
  </si>
  <si>
    <t>BS22</t>
  </si>
  <si>
    <t>Blancas Esteves Javier Rene</t>
  </si>
  <si>
    <t>CR21</t>
  </si>
  <si>
    <t>Camacho Rivera Martha Sarahi</t>
  </si>
  <si>
    <t>CS27</t>
  </si>
  <si>
    <t>Campos Sancen Luis Felipe</t>
  </si>
  <si>
    <t>CM01</t>
  </si>
  <si>
    <t>Carranco Mancera Viridiana</t>
  </si>
  <si>
    <t>CG02</t>
  </si>
  <si>
    <t>Castillo Galindo Marlene Samantha Graciela</t>
  </si>
  <si>
    <t>AC03</t>
  </si>
  <si>
    <t>Del Alto Castellanos Xochitl</t>
  </si>
  <si>
    <t>GM14</t>
  </si>
  <si>
    <t>Gaytan Martinez Raul</t>
  </si>
  <si>
    <t>GM21</t>
  </si>
  <si>
    <t>Guardian Martinez Mayra Veronica</t>
  </si>
  <si>
    <t>GA21</t>
  </si>
  <si>
    <t>Guerra Aguilar Alejandro</t>
  </si>
  <si>
    <t>HE04</t>
  </si>
  <si>
    <t>Hernandez Espinoza Victor Benjami</t>
  </si>
  <si>
    <t>HP29</t>
  </si>
  <si>
    <t>Hernandez Perez Jose Ricardo</t>
  </si>
  <si>
    <t>JR02</t>
  </si>
  <si>
    <t>Jimenez Revilla Valentin Israel</t>
  </si>
  <si>
    <t>0003</t>
  </si>
  <si>
    <t>Jimenez Suarez Ludivina</t>
  </si>
  <si>
    <t>LA2</t>
  </si>
  <si>
    <t>Loyola Acosta Carlos Alberto</t>
  </si>
  <si>
    <t>ME05</t>
  </si>
  <si>
    <t>Mandujano Estrada  Ilse Georgina</t>
  </si>
  <si>
    <t>MH02</t>
  </si>
  <si>
    <t>Martinez Herrera Cristian</t>
  </si>
  <si>
    <t>MP11</t>
  </si>
  <si>
    <t>Medina Puga Sandra</t>
  </si>
  <si>
    <t>MV23</t>
  </si>
  <si>
    <t>Mejia Villegas Nallely Beatriz</t>
  </si>
  <si>
    <t>MM25</t>
  </si>
  <si>
    <t>Meza Muñiz Jose Angel</t>
  </si>
  <si>
    <t>MN09</t>
  </si>
  <si>
    <t>Morales Naif Diana</t>
  </si>
  <si>
    <t>MG17</t>
  </si>
  <si>
    <t>Muñiz Rodriguez Jesus</t>
  </si>
  <si>
    <t>0056</t>
  </si>
  <si>
    <t>Muñoz Macias Marco Alfredo</t>
  </si>
  <si>
    <t>NA28</t>
  </si>
  <si>
    <t>Nava Ambriz Thania</t>
  </si>
  <si>
    <t>0012</t>
  </si>
  <si>
    <t>Navarrete Rodriguez Maria Teresa</t>
  </si>
  <si>
    <t>0023</t>
  </si>
  <si>
    <t>Navarrete Rodriguez Miguel Angel</t>
  </si>
  <si>
    <t>NO05</t>
  </si>
  <si>
    <t>Nieves Osornio Silvestre</t>
  </si>
  <si>
    <t>PG30</t>
  </si>
  <si>
    <t>Patiño Gonzalez Ricardo</t>
  </si>
  <si>
    <t>009</t>
  </si>
  <si>
    <t>Patiño Muñoz Ana Laura</t>
  </si>
  <si>
    <t>PM15</t>
  </si>
  <si>
    <t>Perez Moron Isaac Omar</t>
  </si>
  <si>
    <t>0013</t>
  </si>
  <si>
    <t>Perez Saavedra Julio Cesar</t>
  </si>
  <si>
    <t>PH18</t>
  </si>
  <si>
    <t>Piña Hernandez Carlos Eliseo</t>
  </si>
  <si>
    <t>RZ01</t>
  </si>
  <si>
    <t>Ramirez Zacarias Jorge Alberto</t>
  </si>
  <si>
    <t>RC27</t>
  </si>
  <si>
    <t>Rodriguez Cruz Fernando Antonio</t>
  </si>
  <si>
    <t>0033</t>
  </si>
  <si>
    <t>Rodriguez Nuñez Jose Antonio</t>
  </si>
  <si>
    <t>RL10</t>
  </si>
  <si>
    <t>Ruiz Laguna Anabel</t>
  </si>
  <si>
    <t>SM06</t>
  </si>
  <si>
    <t>Salcedo Moreno Janitzy Xochitl</t>
  </si>
  <si>
    <t>SM00</t>
  </si>
  <si>
    <t>Salomon Muñoz Martin</t>
  </si>
  <si>
    <t>SV030</t>
  </si>
  <si>
    <t xml:space="preserve">Sambrano Villarreal Hernan Andres </t>
  </si>
  <si>
    <t>SE03</t>
  </si>
  <si>
    <t>Sanchez Escamilla Rosalba</t>
  </si>
  <si>
    <t>0008</t>
  </si>
  <si>
    <t>Sanchez Veana Javier</t>
  </si>
  <si>
    <t>SA03</t>
  </si>
  <si>
    <t>Santana Anaya Gildardo Enrique</t>
  </si>
  <si>
    <t>0018</t>
  </si>
  <si>
    <t>Tierrablanca Sanchez Victor Hugo</t>
  </si>
  <si>
    <t>TM19</t>
  </si>
  <si>
    <t>Toledo Moreno Elizabeth Victoria</t>
  </si>
  <si>
    <t>TP12</t>
  </si>
  <si>
    <t>Toledo Perez Jose Francisco</t>
  </si>
  <si>
    <t>TR24</t>
  </si>
  <si>
    <t>Trejo Rodriguez Luis Fernando</t>
  </si>
  <si>
    <t>VF00</t>
  </si>
  <si>
    <t>Vega Fernandez Amalia</t>
  </si>
  <si>
    <t>YV27</t>
  </si>
  <si>
    <t>Yerena Vazquez Alejandro</t>
  </si>
  <si>
    <t xml:space="preserve">  =============</t>
  </si>
  <si>
    <t>Total Gral.</t>
  </si>
  <si>
    <t xml:space="preserve"> </t>
  </si>
  <si>
    <t>LAVADOR PREVIADOR</t>
  </si>
  <si>
    <t>LAVADOR</t>
  </si>
  <si>
    <t>Nombre</t>
  </si>
  <si>
    <t>Infonavit</t>
  </si>
  <si>
    <t>JIMENEZ SUAREZ LUDIV</t>
  </si>
  <si>
    <t>ARIAS CORTES RICARDO</t>
  </si>
  <si>
    <t>BALTAZAR CRUZ DESIRE</t>
  </si>
  <si>
    <t>GAYTAN MARTINEZ RAUL</t>
  </si>
  <si>
    <t>MORALES NAIF DIANA</t>
  </si>
  <si>
    <t>MEDINA PUGA SANDRA</t>
  </si>
  <si>
    <t>NAVA AMBRIZ THANIA</t>
  </si>
  <si>
    <t>SANTANA ANAYA GILDAR</t>
  </si>
  <si>
    <t>SANCHEZ VEANA JAVIER</t>
  </si>
  <si>
    <t>RUIZ LAGUNA ANABEL</t>
  </si>
  <si>
    <t>PEREZ SAAVEDRA JULIO</t>
  </si>
  <si>
    <t>HERNANDEZ PEREZ JOSE</t>
  </si>
  <si>
    <t>SALOMON MUñOZ MARTIN</t>
  </si>
  <si>
    <t>TREJO RODRIGUEZ LUIS</t>
  </si>
  <si>
    <t>RODRIGUEZ NUñEZ JOSE</t>
  </si>
  <si>
    <t>TOLEDO MORENO ELIZAB</t>
  </si>
  <si>
    <t>BE22</t>
  </si>
  <si>
    <t>LA02</t>
  </si>
  <si>
    <t>LOYOLA ACOSTA CARLOS</t>
  </si>
  <si>
    <t>IVA</t>
  </si>
  <si>
    <t>INFONAVIT</t>
  </si>
  <si>
    <t>TOTAL PERCEPCIONES</t>
  </si>
  <si>
    <t>SUELDO BASE</t>
  </si>
  <si>
    <t>COMISIONES</t>
  </si>
  <si>
    <t>Comision 10%</t>
  </si>
  <si>
    <t>2% S/N</t>
  </si>
  <si>
    <t>SUBTOTAL</t>
  </si>
  <si>
    <t>SUBSIDO ENTREGADO</t>
  </si>
  <si>
    <t>SGV</t>
  </si>
  <si>
    <t>Herrera Almaraz Blanca Sofia</t>
  </si>
  <si>
    <t>NM17</t>
  </si>
  <si>
    <t>Navarro Macias Jennifer</t>
  </si>
  <si>
    <t>Ramirez Garcia Jaime Emilio</t>
  </si>
  <si>
    <t>Medina Cisneros Iveth de Jesus</t>
  </si>
  <si>
    <t>HA01</t>
  </si>
  <si>
    <t>MC</t>
  </si>
  <si>
    <t>Medina Cisneros Iveth De Jesus</t>
  </si>
  <si>
    <t>RA02</t>
  </si>
  <si>
    <t>APOYO CLAUSULA 23 CC</t>
  </si>
  <si>
    <t>BS022</t>
  </si>
  <si>
    <t>Consultores &amp; Asesores Integrales S.C.</t>
  </si>
  <si>
    <t>Servicios Prestados a :  ALECSA CELAYA S DE RL DE CV</t>
  </si>
  <si>
    <t>devuelto a empresa</t>
  </si>
  <si>
    <t>Area</t>
  </si>
  <si>
    <t>Suc</t>
  </si>
  <si>
    <t>Puesto</t>
  </si>
  <si>
    <t>FIJO / VARIABLE</t>
  </si>
  <si>
    <t>sub   S/N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</si>
  <si>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</si>
  <si>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</si>
  <si>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</si>
  <si>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</si>
  <si>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</si>
  <si>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</si>
  <si>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</si>
  <si>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</si>
  <si>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</si>
  <si>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Total Deduciones</t>
  </si>
  <si>
    <t>Comision empleado</t>
  </si>
  <si>
    <t>Neto a Recibir</t>
  </si>
  <si>
    <t>Comision subsidiada</t>
  </si>
  <si>
    <t>Impto Nomina</t>
  </si>
  <si>
    <t>Factura</t>
  </si>
  <si>
    <t>CONSULTORES</t>
  </si>
  <si>
    <t>SINDICATO</t>
  </si>
  <si>
    <t>SERVICIO</t>
  </si>
  <si>
    <t>AGUILLON TORRES JONATHAN</t>
  </si>
  <si>
    <t>ADMINISTRACION</t>
  </si>
  <si>
    <t>ENCARGADO DE SISTEMA</t>
  </si>
  <si>
    <t>FIJO</t>
  </si>
  <si>
    <t>AVENDAñO JAUREGUI MAURICIO</t>
  </si>
  <si>
    <t>VIGILANTE</t>
  </si>
  <si>
    <t>BALBUENA SALAZAR PATRICIA</t>
  </si>
  <si>
    <t>AUX ADMINISTRATIVO</t>
  </si>
  <si>
    <t>CAJERA</t>
  </si>
  <si>
    <t>VENTAS</t>
  </si>
  <si>
    <t>BLANCAS ESTEVEZ JAVIER</t>
  </si>
  <si>
    <t>CAMACHO RIVERA MARTHA</t>
  </si>
  <si>
    <t>AUXILIAR DE PROCESOS</t>
  </si>
  <si>
    <t>AUX CONTABLE</t>
  </si>
  <si>
    <t>CASTILLO GALINDO MARLENE</t>
  </si>
  <si>
    <t>INTENDENCIA</t>
  </si>
  <si>
    <t>DEL ALTO CASTELLANOS XOCHILT</t>
  </si>
  <si>
    <t>VIGILANTE MATUTINO</t>
  </si>
  <si>
    <t>GUARDIAN MARTINEZ MAYRA</t>
  </si>
  <si>
    <t>AUX. ADMINISTRATIVO</t>
  </si>
  <si>
    <t>GUERRA AGUILAR ALEJANDRO</t>
  </si>
  <si>
    <t>HERNANDEZ ESPINOZA VICTOR</t>
  </si>
  <si>
    <t>GERENTE GENERAL</t>
  </si>
  <si>
    <t>TECNICO</t>
  </si>
  <si>
    <t>VDQI</t>
  </si>
  <si>
    <t>JIMENEZ REVILLA VALENTIN</t>
  </si>
  <si>
    <t>AUXILIAR CONTABLE</t>
  </si>
  <si>
    <t xml:space="preserve">FIJO   </t>
  </si>
  <si>
    <t>MENSAJERO</t>
  </si>
  <si>
    <t>MANDUJANO ESTRADA ILSE</t>
  </si>
  <si>
    <t>GREETER</t>
  </si>
  <si>
    <t>MARTINEZ HERRERA CRISTIAN</t>
  </si>
  <si>
    <t>MEDINA CISNEROS IVETH DE JESUS</t>
  </si>
  <si>
    <t>CAJERA AUXILIAR</t>
  </si>
  <si>
    <t>ADMON SERVICIO</t>
  </si>
  <si>
    <t>MEJIA VILLEGAS NALLELY</t>
  </si>
  <si>
    <t>CITAS</t>
  </si>
  <si>
    <t>MEZA MUÑIZ JOSE ANGEL</t>
  </si>
  <si>
    <t>RECEPCIONISTA</t>
  </si>
  <si>
    <t>TRASLADISTA</t>
  </si>
  <si>
    <t>AUXILIAR ADMINISTRAT</t>
  </si>
  <si>
    <t>NAVARRETE RODRIGUEZ MIGUEL ANGEL</t>
  </si>
  <si>
    <t>ADMON VENTAS</t>
  </si>
  <si>
    <t>NAVARRETE RODRIGUEZ MARIA TERESA</t>
  </si>
  <si>
    <t>INTERCAMBIOS</t>
  </si>
  <si>
    <t>COORPORATIVO</t>
  </si>
  <si>
    <t>NAVARRO MACIAS JENIFER</t>
  </si>
  <si>
    <t>NIEVES OSORNIO SILVESTRE</t>
  </si>
  <si>
    <t>ESTETICAS</t>
  </si>
  <si>
    <t>PATIñO GONZALEZ RICARDO</t>
  </si>
  <si>
    <t>F&amp;I</t>
  </si>
  <si>
    <t>PATIÑO MUÑOZ ANA LAURA</t>
  </si>
  <si>
    <t>PEREZ MORON ISAAC OMAR</t>
  </si>
  <si>
    <t>COACH DE VENTAS</t>
  </si>
  <si>
    <t>RAMIREZ GARCIA JAIME EMILIO</t>
  </si>
  <si>
    <t>GERENTE POST-VENTA</t>
  </si>
  <si>
    <t>RAMIREZ ZACARIAS JORGE</t>
  </si>
  <si>
    <t>TECNICO MAESTRO EN D</t>
  </si>
  <si>
    <t>RODRIGUEZ CRUZ FERNANDO</t>
  </si>
  <si>
    <t>PREVIADOR</t>
  </si>
  <si>
    <t>REFACCIONES</t>
  </si>
  <si>
    <t>AUXILIAR DE REFACCIO</t>
  </si>
  <si>
    <t>SALCEDO MORENO JANITZY</t>
  </si>
  <si>
    <t>ATENCION A CLIENTES</t>
  </si>
  <si>
    <t>SAMBRANO VILLARREAL HERNAN</t>
  </si>
  <si>
    <t>LAVADOR NUEVOS</t>
  </si>
  <si>
    <t>SANCHEZ ESCAMILLA ROSALBA</t>
  </si>
  <si>
    <t>GARANTIAS</t>
  </si>
  <si>
    <t>GERENTE DE REFACCION</t>
  </si>
  <si>
    <t>GERENTE DE SISTEMAS</t>
  </si>
  <si>
    <t xml:space="preserve">TIERRABLANCA SANCHEZ VICTOR </t>
  </si>
  <si>
    <t>SEGUROS</t>
  </si>
  <si>
    <t>TOLEDO PEREZ FRANCISCO</t>
  </si>
  <si>
    <t>LAVADOR/PREVIADOR</t>
  </si>
  <si>
    <t>VEGA FERNANDEZ AMALIA</t>
  </si>
  <si>
    <t>YERENA VAZQUEZ ALEJANDRO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</si>
  <si>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</si>
  <si>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</si>
  <si>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</si>
  <si>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</si>
  <si>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</si>
  <si>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</si>
  <si>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</si>
  <si>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</si>
  <si>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</si>
  <si>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</si>
  <si>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paso a semanal</t>
  </si>
  <si>
    <t>comisión empleado</t>
  </si>
  <si>
    <t>DIA FESTIVO</t>
  </si>
  <si>
    <t>FALTA</t>
  </si>
  <si>
    <t>Reg Pat IMSS: B4251548102</t>
  </si>
  <si>
    <t>UNIFORMES</t>
  </si>
  <si>
    <t>HORAS EXTRAS</t>
  </si>
  <si>
    <t>DEBE</t>
  </si>
  <si>
    <t xml:space="preserve">Periodo </t>
  </si>
  <si>
    <t>DIFERENCIA</t>
  </si>
  <si>
    <t>DIF</t>
  </si>
  <si>
    <t>OBSERVACIONES</t>
  </si>
  <si>
    <t>Subsidio</t>
  </si>
  <si>
    <t>RECURSOS HUMANOS</t>
  </si>
  <si>
    <t>ENTREGAS/CITAS</t>
  </si>
  <si>
    <t>CAMPOS SANCEN LUIS FELIPE</t>
  </si>
  <si>
    <t>GUERRERO HERNANDEZ JUAN CARLOS</t>
  </si>
  <si>
    <t>HERRERA ALMARAZ BLANCA SOFIA</t>
  </si>
  <si>
    <t>MUÑIZ RODRIGUEZ JESUS</t>
  </si>
  <si>
    <t>MUÑOZ MACIAS MARCO ALFREDO</t>
  </si>
  <si>
    <t>PROMOTOR KAISEN</t>
  </si>
  <si>
    <t>PIÑA HERNANDEZ CARLOS</t>
  </si>
  <si>
    <t>ASISTENTE DE DIRECCION</t>
  </si>
  <si>
    <t>PASA A QM</t>
  </si>
  <si>
    <t>SALAS CORREA VICTOR EDUARDO</t>
  </si>
  <si>
    <t>INGRESO 29/02/16</t>
  </si>
  <si>
    <t>ESPECIAL</t>
  </si>
  <si>
    <t xml:space="preserve">PRIETO LOPEZ LEOBIGILDO </t>
  </si>
  <si>
    <t>cambio a QM</t>
  </si>
  <si>
    <t>TOTAL DEDUCICONES</t>
  </si>
  <si>
    <t>NETO A RECIBIR EMPLEADO</t>
  </si>
  <si>
    <t>TOTAL</t>
  </si>
  <si>
    <t>FACTURACIÓN</t>
  </si>
  <si>
    <t>Periodo 5 al 5 Quincenal del 01/03/2016 al 15/03/2016</t>
  </si>
  <si>
    <t>705-070</t>
  </si>
  <si>
    <t>703-070</t>
  </si>
  <si>
    <t>700-070</t>
  </si>
  <si>
    <t>683-001-001</t>
  </si>
  <si>
    <t>704-070</t>
  </si>
  <si>
    <t>703-07</t>
  </si>
  <si>
    <t>702-070</t>
  </si>
  <si>
    <t>cuenta</t>
  </si>
  <si>
    <t>ALECSA CELAYA, SRL DE CV</t>
  </si>
  <si>
    <t xml:space="preserve">DESGLOSE DE NOMINA </t>
  </si>
  <si>
    <t>PERIODO</t>
  </si>
  <si>
    <t>CUENTA</t>
  </si>
  <si>
    <t>IMPORTE</t>
  </si>
  <si>
    <t>701-070</t>
  </si>
  <si>
    <t>705-001-070</t>
  </si>
  <si>
    <t>01/03/2016 AL 15/03/2016</t>
  </si>
  <si>
    <t>706-070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</si>
</sst>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9900"/>
      <name val="Calibri"/>
      <family val="2"/>
      <scheme val="minor"/>
    </font>
    <font>
      <i/>
      <sz val="11"/>
      <color rgb="FFFF9900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5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rgb="FF0000FD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29">
    <xf numFmtId="0" fontId="0" fillId="0" borderId="0" xfId="0"/>
    <xf numFmtId="0" fontId="3" fillId="0" borderId="0" xfId="0" applyFont="1" applyAlignment="1">
      <alignment vertical="center"/>
    </xf>
    <xf numFmtId="43" fontId="3" fillId="0" borderId="0" xfId="1" applyFont="1" applyAlignment="1"/>
    <xf numFmtId="43" fontId="3" fillId="0" borderId="0" xfId="1" applyFont="1" applyAlignment="1">
      <alignment vertical="center"/>
    </xf>
    <xf numFmtId="0" fontId="5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43" fontId="6" fillId="0" borderId="0" xfId="1" applyFont="1" applyFill="1" applyAlignment="1" applyProtection="1">
      <alignment horizontal="center"/>
    </xf>
    <xf numFmtId="43" fontId="7" fillId="0" borderId="0" xfId="1" applyFont="1" applyFill="1" applyAlignment="1" applyProtection="1">
      <alignment horizontal="center"/>
    </xf>
    <xf numFmtId="0" fontId="6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15" fontId="5" fillId="0" borderId="0" xfId="3" applyNumberFormat="1" applyFont="1" applyFill="1" applyAlignment="1" applyProtection="1">
      <alignment horizontal="left"/>
    </xf>
    <xf numFmtId="15" fontId="5" fillId="0" borderId="0" xfId="3" applyNumberFormat="1" applyFont="1" applyFill="1" applyAlignment="1" applyProtection="1">
      <alignment horizontal="center"/>
    </xf>
    <xf numFmtId="0" fontId="7" fillId="0" borderId="0" xfId="0" applyFont="1"/>
    <xf numFmtId="43" fontId="6" fillId="0" borderId="0" xfId="1" applyFont="1"/>
    <xf numFmtId="43" fontId="7" fillId="0" borderId="0" xfId="1" applyFont="1"/>
    <xf numFmtId="0" fontId="7" fillId="0" borderId="0" xfId="0" applyFont="1" applyFill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43" fontId="6" fillId="0" borderId="3" xfId="1" applyFont="1" applyBorder="1"/>
    <xf numFmtId="43" fontId="9" fillId="7" borderId="3" xfId="1" applyFont="1" applyFill="1" applyBorder="1"/>
    <xf numFmtId="43" fontId="7" fillId="8" borderId="3" xfId="1" applyFont="1" applyFill="1" applyBorder="1"/>
    <xf numFmtId="43" fontId="6" fillId="9" borderId="3" xfId="1" applyFont="1" applyFill="1" applyBorder="1"/>
    <xf numFmtId="43" fontId="6" fillId="10" borderId="3" xfId="1" applyFont="1" applyFill="1" applyBorder="1" applyAlignment="1">
      <alignment horizontal="center"/>
    </xf>
    <xf numFmtId="43" fontId="0" fillId="0" borderId="3" xfId="1" applyFont="1" applyBorder="1"/>
    <xf numFmtId="43" fontId="6" fillId="0" borderId="3" xfId="1" applyFont="1" applyFill="1" applyBorder="1" applyAlignment="1">
      <alignment horizontal="center"/>
    </xf>
    <xf numFmtId="43" fontId="6" fillId="5" borderId="3" xfId="1" applyFont="1" applyFill="1" applyBorder="1" applyAlignment="1">
      <alignment horizontal="center"/>
    </xf>
    <xf numFmtId="0" fontId="6" fillId="0" borderId="0" xfId="0" applyFont="1" applyFill="1"/>
    <xf numFmtId="0" fontId="6" fillId="7" borderId="0" xfId="0" applyFont="1" applyFill="1"/>
    <xf numFmtId="0" fontId="6" fillId="0" borderId="0" xfId="0" applyFont="1"/>
    <xf numFmtId="0" fontId="7" fillId="3" borderId="0" xfId="0" applyFont="1" applyFill="1"/>
    <xf numFmtId="0" fontId="6" fillId="7" borderId="3" xfId="0" applyFont="1" applyFill="1" applyBorder="1"/>
    <xf numFmtId="43" fontId="6" fillId="7" borderId="3" xfId="1" applyFont="1" applyFill="1" applyBorder="1"/>
    <xf numFmtId="0" fontId="6" fillId="3" borderId="0" xfId="0" applyFont="1" applyFill="1"/>
    <xf numFmtId="12" fontId="6" fillId="7" borderId="3" xfId="1" applyNumberFormat="1" applyFont="1" applyFill="1" applyBorder="1"/>
    <xf numFmtId="0" fontId="6" fillId="4" borderId="0" xfId="0" applyFont="1" applyFill="1"/>
    <xf numFmtId="8" fontId="6" fillId="0" borderId="0" xfId="0" applyNumberFormat="1" applyFont="1" applyFill="1"/>
    <xf numFmtId="0" fontId="7" fillId="0" borderId="3" xfId="0" applyFont="1" applyFill="1" applyBorder="1"/>
    <xf numFmtId="0" fontId="6" fillId="0" borderId="4" xfId="0" applyFont="1" applyFill="1" applyBorder="1"/>
    <xf numFmtId="43" fontId="6" fillId="0" borderId="4" xfId="1" applyFont="1" applyFill="1" applyBorder="1"/>
    <xf numFmtId="43" fontId="7" fillId="0" borderId="3" xfId="1" applyFont="1" applyFill="1" applyBorder="1"/>
    <xf numFmtId="43" fontId="7" fillId="0" borderId="4" xfId="1" applyFont="1" applyFill="1" applyBorder="1"/>
    <xf numFmtId="0" fontId="7" fillId="0" borderId="6" xfId="0" applyFont="1" applyBorder="1"/>
    <xf numFmtId="43" fontId="7" fillId="0" borderId="6" xfId="1" applyFont="1" applyBorder="1"/>
    <xf numFmtId="0" fontId="10" fillId="0" borderId="0" xfId="0" applyFont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43" fontId="6" fillId="0" borderId="3" xfId="1" applyFont="1" applyFill="1" applyBorder="1"/>
    <xf numFmtId="43" fontId="0" fillId="0" borderId="3" xfId="1" applyFont="1" applyFill="1" applyBorder="1"/>
    <xf numFmtId="0" fontId="7" fillId="0" borderId="0" xfId="0" applyFont="1" applyFill="1" applyAlignment="1">
      <alignment horizontal="center"/>
    </xf>
    <xf numFmtId="43" fontId="7" fillId="6" borderId="4" xfId="1" applyFont="1" applyFill="1" applyBorder="1" applyAlignment="1">
      <alignment horizontal="center" wrapText="1"/>
    </xf>
    <xf numFmtId="43" fontId="7" fillId="6" borderId="5" xfId="1" applyFont="1" applyFill="1" applyBorder="1" applyAlignment="1">
      <alignment horizontal="center" wrapText="1"/>
    </xf>
    <xf numFmtId="43" fontId="1" fillId="0" borderId="0" xfId="1" applyProtection="1"/>
    <xf numFmtId="43" fontId="1" fillId="0" borderId="0" xfId="1"/>
    <xf numFmtId="43" fontId="7" fillId="6" borderId="10" xfId="1" applyFont="1" applyFill="1" applyBorder="1" applyAlignment="1">
      <alignment horizontal="center" wrapText="1"/>
    </xf>
    <xf numFmtId="43" fontId="1" fillId="6" borderId="4" xfId="1" applyFill="1" applyBorder="1" applyAlignment="1">
      <alignment horizontal="center" wrapText="1"/>
    </xf>
    <xf numFmtId="43" fontId="1" fillId="0" borderId="0" xfId="1" applyFill="1"/>
    <xf numFmtId="43" fontId="6" fillId="0" borderId="0" xfId="0" applyNumberFormat="1" applyFont="1" applyFill="1"/>
    <xf numFmtId="43" fontId="7" fillId="4" borderId="0" xfId="0" applyNumberFormat="1" applyFont="1" applyFill="1"/>
    <xf numFmtId="43" fontId="1" fillId="3" borderId="0" xfId="1" applyFill="1"/>
    <xf numFmtId="43" fontId="2" fillId="0" borderId="3" xfId="1" applyFont="1" applyFill="1" applyBorder="1"/>
    <xf numFmtId="43" fontId="6" fillId="0" borderId="0" xfId="1" applyFont="1" applyFill="1" applyBorder="1"/>
    <xf numFmtId="0" fontId="13" fillId="12" borderId="3" xfId="0" applyFont="1" applyFill="1" applyBorder="1"/>
    <xf numFmtId="0" fontId="13" fillId="12" borderId="3" xfId="0" applyFont="1" applyFill="1" applyBorder="1" applyAlignment="1">
      <alignment horizontal="right"/>
    </xf>
    <xf numFmtId="43" fontId="13" fillId="12" borderId="3" xfId="1" applyFont="1" applyFill="1" applyBorder="1"/>
    <xf numFmtId="43" fontId="13" fillId="12" borderId="3" xfId="1" applyFont="1" applyFill="1" applyBorder="1" applyAlignment="1">
      <alignment horizontal="center"/>
    </xf>
    <xf numFmtId="43" fontId="14" fillId="12" borderId="3" xfId="1" applyFont="1" applyFill="1" applyBorder="1"/>
    <xf numFmtId="43" fontId="14" fillId="12" borderId="0" xfId="1" applyFont="1" applyFill="1"/>
    <xf numFmtId="43" fontId="13" fillId="12" borderId="0" xfId="0" applyNumberFormat="1" applyFont="1" applyFill="1"/>
    <xf numFmtId="0" fontId="13" fillId="12" borderId="0" xfId="0" applyFont="1" applyFill="1"/>
    <xf numFmtId="43" fontId="6" fillId="0" borderId="3" xfId="0" applyNumberFormat="1" applyFont="1" applyBorder="1"/>
    <xf numFmtId="43" fontId="6" fillId="14" borderId="3" xfId="1" applyFont="1" applyFill="1" applyBorder="1" applyAlignment="1">
      <alignment horizontal="center"/>
    </xf>
    <xf numFmtId="43" fontId="6" fillId="7" borderId="3" xfId="0" applyNumberFormat="1" applyFont="1" applyFill="1" applyBorder="1"/>
    <xf numFmtId="43" fontId="6" fillId="3" borderId="0" xfId="0" applyNumberFormat="1" applyFont="1" applyFill="1"/>
    <xf numFmtId="0" fontId="3" fillId="0" borderId="0" xfId="0" applyFont="1" applyAlignment="1"/>
    <xf numFmtId="43" fontId="0" fillId="0" borderId="0" xfId="1" applyFont="1"/>
    <xf numFmtId="0" fontId="3" fillId="0" borderId="0" xfId="0" applyFont="1"/>
    <xf numFmtId="43" fontId="0" fillId="0" borderId="0" xfId="1" applyFont="1" applyProtection="1"/>
    <xf numFmtId="43" fontId="0" fillId="6" borderId="4" xfId="1" applyFont="1" applyFill="1" applyBorder="1" applyAlignment="1">
      <alignment horizontal="center" wrapText="1"/>
    </xf>
    <xf numFmtId="43" fontId="0" fillId="0" borderId="0" xfId="1" applyFont="1" applyFill="1"/>
    <xf numFmtId="0" fontId="3" fillId="0" borderId="0" xfId="0" applyFont="1" applyFill="1"/>
    <xf numFmtId="49" fontId="18" fillId="0" borderId="0" xfId="0" applyNumberFormat="1" applyFont="1" applyFill="1" applyAlignment="1">
      <alignment horizontal="left"/>
    </xf>
    <xf numFmtId="164" fontId="18" fillId="0" borderId="2" xfId="0" applyNumberFormat="1" applyFont="1" applyFill="1" applyBorder="1"/>
    <xf numFmtId="164" fontId="18" fillId="15" borderId="2" xfId="0" applyNumberFormat="1" applyFont="1" applyFill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49" fontId="18" fillId="0" borderId="0" xfId="0" applyNumberFormat="1" applyFont="1" applyAlignment="1">
      <alignment horizontal="centerContinuous"/>
    </xf>
    <xf numFmtId="43" fontId="3" fillId="0" borderId="0" xfId="1" applyFont="1"/>
    <xf numFmtId="43" fontId="18" fillId="0" borderId="0" xfId="1" applyFont="1"/>
    <xf numFmtId="49" fontId="19" fillId="0" borderId="0" xfId="0" applyNumberFormat="1" applyFont="1" applyAlignment="1">
      <alignment horizontal="centerContinuous" vertical="top"/>
    </xf>
    <xf numFmtId="0" fontId="18" fillId="0" borderId="0" xfId="0" applyFont="1" applyAlignment="1">
      <alignment vertical="center"/>
    </xf>
    <xf numFmtId="49" fontId="3" fillId="0" borderId="0" xfId="0" applyNumberFormat="1" applyFont="1"/>
    <xf numFmtId="0" fontId="20" fillId="0" borderId="0" xfId="3" applyFont="1" applyFill="1" applyAlignment="1" applyProtection="1">
      <alignment horizontal="left"/>
    </xf>
    <xf numFmtId="0" fontId="20" fillId="0" borderId="0" xfId="3" applyFont="1" applyFill="1" applyAlignment="1" applyProtection="1">
      <alignment horizontal="center"/>
    </xf>
    <xf numFmtId="43" fontId="3" fillId="0" borderId="0" xfId="1" applyFont="1" applyFill="1" applyAlignment="1" applyProtection="1">
      <alignment horizontal="center"/>
    </xf>
    <xf numFmtId="43" fontId="18" fillId="0" borderId="0" xfId="1" applyFont="1" applyFill="1" applyAlignment="1" applyProtection="1">
      <alignment horizontal="center"/>
    </xf>
    <xf numFmtId="0" fontId="3" fillId="0" borderId="0" xfId="0" applyFont="1" applyProtection="1"/>
    <xf numFmtId="43" fontId="3" fillId="0" borderId="0" xfId="1" applyFont="1" applyProtection="1"/>
    <xf numFmtId="0" fontId="3" fillId="0" borderId="0" xfId="0" applyFont="1" applyAlignment="1">
      <alignment horizontal="left"/>
    </xf>
    <xf numFmtId="0" fontId="21" fillId="0" borderId="0" xfId="3" applyFont="1" applyFill="1" applyAlignment="1" applyProtection="1">
      <alignment horizontal="left"/>
    </xf>
    <xf numFmtId="0" fontId="21" fillId="0" borderId="0" xfId="3" applyFont="1" applyFill="1" applyAlignment="1" applyProtection="1">
      <alignment horizontal="center"/>
    </xf>
    <xf numFmtId="15" fontId="20" fillId="0" borderId="0" xfId="3" applyNumberFormat="1" applyFont="1" applyFill="1" applyAlignment="1" applyProtection="1">
      <alignment horizontal="left"/>
    </xf>
    <xf numFmtId="15" fontId="20" fillId="0" borderId="0" xfId="3" applyNumberFormat="1" applyFont="1" applyFill="1" applyAlignment="1" applyProtection="1">
      <alignment horizontal="center"/>
    </xf>
    <xf numFmtId="0" fontId="18" fillId="0" borderId="0" xfId="0" applyFont="1"/>
    <xf numFmtId="0" fontId="3" fillId="0" borderId="0" xfId="0" applyFont="1" applyAlignment="1">
      <alignment horizontal="center" vertical="center"/>
    </xf>
    <xf numFmtId="43" fontId="18" fillId="6" borderId="4" xfId="1" applyFont="1" applyFill="1" applyBorder="1" applyAlignment="1">
      <alignment horizontal="center" wrapText="1"/>
    </xf>
    <xf numFmtId="43" fontId="18" fillId="6" borderId="10" xfId="1" applyFont="1" applyFill="1" applyBorder="1" applyAlignment="1">
      <alignment horizontal="center" wrapText="1"/>
    </xf>
    <xf numFmtId="43" fontId="18" fillId="0" borderId="0" xfId="1" applyFont="1" applyFill="1"/>
    <xf numFmtId="0" fontId="18" fillId="0" borderId="0" xfId="0" applyFont="1" applyFill="1"/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43" fontId="18" fillId="13" borderId="1" xfId="0" applyNumberFormat="1" applyFont="1" applyFill="1" applyBorder="1" applyAlignment="1">
      <alignment horizontal="center" vertical="center" wrapText="1"/>
    </xf>
    <xf numFmtId="43" fontId="18" fillId="2" borderId="1" xfId="1" applyFont="1" applyFill="1" applyBorder="1" applyAlignment="1">
      <alignment horizontal="center" vertical="center" wrapText="1"/>
    </xf>
    <xf numFmtId="0" fontId="18" fillId="15" borderId="1" xfId="0" applyFont="1" applyFill="1" applyBorder="1" applyAlignment="1">
      <alignment horizontal="center" vertical="center" wrapText="1"/>
    </xf>
    <xf numFmtId="43" fontId="18" fillId="6" borderId="5" xfId="1" applyFont="1" applyFill="1" applyBorder="1" applyAlignment="1">
      <alignment horizontal="center" wrapText="1"/>
    </xf>
    <xf numFmtId="49" fontId="3" fillId="0" borderId="0" xfId="0" applyNumberFormat="1" applyFont="1" applyFill="1"/>
    <xf numFmtId="44" fontId="3" fillId="0" borderId="0" xfId="2" applyFont="1" applyFill="1"/>
    <xf numFmtId="43" fontId="3" fillId="0" borderId="0" xfId="0" applyNumberFormat="1" applyFont="1" applyFill="1"/>
    <xf numFmtId="44" fontId="3" fillId="15" borderId="0" xfId="2" applyFont="1" applyFill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43" fontId="3" fillId="0" borderId="3" xfId="1" applyFont="1" applyFill="1" applyBorder="1"/>
    <xf numFmtId="43" fontId="16" fillId="0" borderId="3" xfId="1" applyFont="1" applyFill="1" applyBorder="1"/>
    <xf numFmtId="43" fontId="18" fillId="0" borderId="3" xfId="1" applyFont="1" applyFill="1" applyBorder="1"/>
    <xf numFmtId="43" fontId="3" fillId="0" borderId="3" xfId="1" applyFont="1" applyFill="1" applyBorder="1" applyAlignment="1">
      <alignment horizontal="center"/>
    </xf>
    <xf numFmtId="43" fontId="3" fillId="0" borderId="0" xfId="1" applyFont="1" applyFill="1"/>
    <xf numFmtId="0" fontId="18" fillId="0" borderId="0" xfId="0" applyFont="1" applyFill="1" applyAlignment="1">
      <alignment horizontal="center"/>
    </xf>
    <xf numFmtId="12" fontId="3" fillId="0" borderId="3" xfId="1" applyNumberFormat="1" applyFont="1" applyFill="1" applyBorder="1"/>
    <xf numFmtId="43" fontId="18" fillId="0" borderId="0" xfId="0" applyNumberFormat="1" applyFont="1" applyFill="1"/>
    <xf numFmtId="49" fontId="0" fillId="0" borderId="0" xfId="0" applyNumberFormat="1" applyFont="1" applyFill="1"/>
    <xf numFmtId="49" fontId="3" fillId="12" borderId="0" xfId="0" applyNumberFormat="1" applyFont="1" applyFill="1"/>
    <xf numFmtId="8" fontId="3" fillId="0" borderId="0" xfId="0" applyNumberFormat="1" applyFont="1" applyFill="1"/>
    <xf numFmtId="0" fontId="18" fillId="0" borderId="3" xfId="0" applyFont="1" applyFill="1" applyBorder="1"/>
    <xf numFmtId="43" fontId="3" fillId="0" borderId="3" xfId="0" applyNumberFormat="1" applyFont="1" applyFill="1" applyBorder="1"/>
    <xf numFmtId="0" fontId="22" fillId="0" borderId="0" xfId="0" applyFont="1" applyFill="1"/>
    <xf numFmtId="49" fontId="22" fillId="0" borderId="0" xfId="0" applyNumberFormat="1" applyFont="1" applyFill="1"/>
    <xf numFmtId="43" fontId="22" fillId="0" borderId="0" xfId="1" applyFont="1" applyFill="1"/>
    <xf numFmtId="164" fontId="22" fillId="0" borderId="0" xfId="0" applyNumberFormat="1" applyFont="1" applyFill="1"/>
    <xf numFmtId="0" fontId="3" fillId="0" borderId="4" xfId="0" applyFont="1" applyFill="1" applyBorder="1"/>
    <xf numFmtId="43" fontId="3" fillId="0" borderId="4" xfId="1" applyFont="1" applyFill="1" applyBorder="1"/>
    <xf numFmtId="43" fontId="18" fillId="0" borderId="4" xfId="1" applyFont="1" applyFill="1" applyBorder="1"/>
    <xf numFmtId="0" fontId="18" fillId="0" borderId="6" xfId="0" applyFont="1" applyFill="1" applyBorder="1"/>
    <xf numFmtId="43" fontId="18" fillId="0" borderId="6" xfId="1" applyFont="1" applyFill="1" applyBorder="1"/>
    <xf numFmtId="0" fontId="23" fillId="0" borderId="0" xfId="0" applyFont="1" applyFill="1"/>
    <xf numFmtId="43" fontId="23" fillId="0" borderId="0" xfId="1" applyFont="1" applyFill="1"/>
    <xf numFmtId="164" fontId="23" fillId="0" borderId="0" xfId="0" applyNumberFormat="1" applyFont="1" applyFill="1"/>
    <xf numFmtId="44" fontId="22" fillId="0" borderId="0" xfId="2" applyFont="1" applyFill="1"/>
    <xf numFmtId="0" fontId="24" fillId="0" borderId="0" xfId="0" applyFont="1" applyFill="1"/>
    <xf numFmtId="0" fontId="15" fillId="0" borderId="3" xfId="0" applyFont="1" applyFill="1" applyBorder="1"/>
    <xf numFmtId="0" fontId="15" fillId="0" borderId="3" xfId="0" applyFont="1" applyFill="1" applyBorder="1" applyAlignment="1">
      <alignment horizontal="right"/>
    </xf>
    <xf numFmtId="43" fontId="15" fillId="0" borderId="3" xfId="1" applyFont="1" applyFill="1" applyBorder="1"/>
    <xf numFmtId="43" fontId="15" fillId="0" borderId="3" xfId="1" applyFont="1" applyFill="1" applyBorder="1" applyAlignment="1">
      <alignment horizontal="center"/>
    </xf>
    <xf numFmtId="43" fontId="15" fillId="0" borderId="0" xfId="1" applyFont="1" applyFill="1"/>
    <xf numFmtId="43" fontId="15" fillId="0" borderId="0" xfId="0" applyNumberFormat="1" applyFont="1" applyFill="1"/>
    <xf numFmtId="0" fontId="15" fillId="0" borderId="0" xfId="0" applyFont="1" applyFill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43" fontId="3" fillId="0" borderId="3" xfId="1" applyFont="1" applyBorder="1"/>
    <xf numFmtId="43" fontId="16" fillId="7" borderId="3" xfId="1" applyFont="1" applyFill="1" applyBorder="1"/>
    <xf numFmtId="43" fontId="18" fillId="8" borderId="3" xfId="1" applyFont="1" applyFill="1" applyBorder="1"/>
    <xf numFmtId="43" fontId="3" fillId="9" borderId="3" xfId="1" applyFont="1" applyFill="1" applyBorder="1"/>
    <xf numFmtId="43" fontId="3" fillId="10" borderId="3" xfId="1" applyFont="1" applyFill="1" applyBorder="1" applyAlignment="1">
      <alignment horizontal="center"/>
    </xf>
    <xf numFmtId="43" fontId="3" fillId="5" borderId="3" xfId="1" applyFont="1" applyFill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49" fontId="2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43" fontId="0" fillId="0" borderId="0" xfId="1" applyFont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0" borderId="0" xfId="0" applyNumberFormat="1" applyFont="1"/>
    <xf numFmtId="164" fontId="0" fillId="0" borderId="0" xfId="0" applyNumberFormat="1" applyFont="1"/>
    <xf numFmtId="0" fontId="0" fillId="3" borderId="0" xfId="0" applyFont="1" applyFill="1"/>
    <xf numFmtId="49" fontId="0" fillId="3" borderId="0" xfId="0" applyNumberFormat="1" applyFont="1" applyFill="1"/>
    <xf numFmtId="0" fontId="0" fillId="0" borderId="0" xfId="0" applyFont="1" applyFill="1"/>
    <xf numFmtId="0" fontId="0" fillId="4" borderId="0" xfId="0" applyFont="1" applyFill="1"/>
    <xf numFmtId="164" fontId="29" fillId="0" borderId="0" xfId="0" applyNumberFormat="1" applyFont="1"/>
    <xf numFmtId="49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49" fontId="17" fillId="0" borderId="0" xfId="0" applyNumberFormat="1" applyFont="1" applyAlignment="1">
      <alignment horizontal="left"/>
    </xf>
    <xf numFmtId="164" fontId="17" fillId="0" borderId="0" xfId="0" applyNumberFormat="1" applyFont="1"/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9" fontId="17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43" fontId="1" fillId="0" borderId="0" xfId="1" applyFont="1"/>
    <xf numFmtId="43" fontId="1" fillId="3" borderId="0" xfId="1" applyFont="1" applyFill="1"/>
    <xf numFmtId="43" fontId="1" fillId="0" borderId="0" xfId="1" applyFont="1" applyFill="1"/>
    <xf numFmtId="43" fontId="1" fillId="4" borderId="0" xfId="1" applyFont="1" applyFill="1"/>
    <xf numFmtId="43" fontId="1" fillId="0" borderId="0" xfId="1" applyFont="1" applyAlignment="1">
      <alignment horizontal="right"/>
    </xf>
    <xf numFmtId="164" fontId="0" fillId="0" borderId="0" xfId="0" applyNumberFormat="1" applyFont="1" applyFill="1"/>
    <xf numFmtId="164" fontId="29" fillId="0" borderId="0" xfId="0" applyNumberFormat="1" applyFont="1" applyFill="1"/>
    <xf numFmtId="0" fontId="0" fillId="15" borderId="0" xfId="0" applyFont="1" applyFill="1"/>
    <xf numFmtId="0" fontId="25" fillId="0" borderId="12" xfId="0" applyFont="1" applyBorder="1"/>
    <xf numFmtId="0" fontId="17" fillId="0" borderId="12" xfId="0" applyFont="1" applyBorder="1"/>
    <xf numFmtId="0" fontId="0" fillId="0" borderId="12" xfId="0" applyFont="1" applyBorder="1"/>
    <xf numFmtId="0" fontId="0" fillId="0" borderId="12" xfId="0" applyBorder="1"/>
    <xf numFmtId="14" fontId="25" fillId="0" borderId="12" xfId="0" applyNumberFormat="1" applyFont="1" applyBorder="1"/>
    <xf numFmtId="43" fontId="1" fillId="0" borderId="12" xfId="1" applyFont="1" applyBorder="1"/>
    <xf numFmtId="43" fontId="1" fillId="0" borderId="13" xfId="1" applyFont="1" applyBorder="1"/>
    <xf numFmtId="43" fontId="1" fillId="0" borderId="14" xfId="1" applyFont="1" applyBorder="1"/>
    <xf numFmtId="43" fontId="1" fillId="0" borderId="15" xfId="1" applyFont="1" applyBorder="1"/>
    <xf numFmtId="43" fontId="17" fillId="0" borderId="14" xfId="1" applyFont="1" applyBorder="1"/>
    <xf numFmtId="43" fontId="1" fillId="0" borderId="16" xfId="1" applyFont="1" applyBorder="1"/>
    <xf numFmtId="43" fontId="0" fillId="0" borderId="12" xfId="0" applyNumberFormat="1" applyFont="1" applyBorder="1"/>
    <xf numFmtId="43" fontId="7" fillId="6" borderId="4" xfId="1" applyFont="1" applyFill="1" applyBorder="1" applyAlignment="1">
      <alignment horizontal="center" wrapText="1"/>
    </xf>
    <xf numFmtId="43" fontId="7" fillId="6" borderId="5" xfId="1" applyFont="1" applyFill="1" applyBorder="1" applyAlignment="1">
      <alignment horizontal="center" wrapText="1"/>
    </xf>
    <xf numFmtId="43" fontId="1" fillId="6" borderId="8" xfId="1" applyFill="1" applyBorder="1" applyAlignment="1">
      <alignment horizontal="center" wrapText="1"/>
    </xf>
    <xf numFmtId="43" fontId="1" fillId="6" borderId="9" xfId="1" applyFill="1" applyBorder="1" applyAlignment="1">
      <alignment horizontal="center" wrapText="1"/>
    </xf>
    <xf numFmtId="43" fontId="7" fillId="6" borderId="3" xfId="1" applyFont="1" applyFill="1" applyBorder="1" applyAlignment="1">
      <alignment horizontal="center" wrapText="1"/>
    </xf>
    <xf numFmtId="0" fontId="7" fillId="11" borderId="7" xfId="0" applyFont="1" applyFill="1" applyBorder="1" applyAlignment="1">
      <alignment horizontal="center"/>
    </xf>
    <xf numFmtId="3" fontId="7" fillId="6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3" fontId="18" fillId="6" borderId="3" xfId="0" applyNumberFormat="1" applyFont="1" applyFill="1" applyBorder="1"/>
    <xf numFmtId="43" fontId="18" fillId="6" borderId="4" xfId="1" applyFont="1" applyFill="1" applyBorder="1" applyAlignment="1">
      <alignment horizontal="center" wrapText="1"/>
    </xf>
    <xf numFmtId="43" fontId="18" fillId="6" borderId="5" xfId="1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/>
    </xf>
    <xf numFmtId="43" fontId="0" fillId="6" borderId="8" xfId="1" applyFont="1" applyFill="1" applyBorder="1" applyAlignment="1">
      <alignment horizontal="center" wrapText="1"/>
    </xf>
    <xf numFmtId="43" fontId="0" fillId="6" borderId="9" xfId="1" applyFont="1" applyFill="1" applyBorder="1" applyAlignment="1">
      <alignment horizontal="center" wrapText="1"/>
    </xf>
    <xf numFmtId="43" fontId="18" fillId="6" borderId="3" xfId="1" applyFont="1" applyFill="1" applyBorder="1" applyAlignment="1">
      <alignment horizontal="center" wrapText="1"/>
    </xf>
    <xf numFmtId="0" fontId="3" fillId="15" borderId="11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_Hoj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4"/>
  <sheetViews>
    <sheetView topLeftCell="A7" workbookViewId="0">
      <selection activeCell="A24" sqref="A24"/>
    </sheetView>
  </sheetViews>
  <sheetFormatPr baseColWidth="10" defaultColWidth="19.5703125" defaultRowHeight="15.75" x14ac:dyDescent="0.25"/>
  <cols>
    <col min="1" max="1" width="28.7109375" style="29" customWidth="1"/>
    <col min="2" max="2" width="45.140625" style="29" bestFit="1" customWidth="1"/>
    <col min="3" max="3" width="8.85546875" style="29" customWidth="1"/>
    <col min="4" max="4" width="36" style="29" bestFit="1" customWidth="1"/>
    <col min="5" max="5" width="13" style="29" bestFit="1" customWidth="1"/>
    <col min="6" max="6" width="11.7109375" style="29" customWidth="1"/>
    <col min="7" max="7" width="17.140625" style="29" bestFit="1" customWidth="1"/>
    <col min="8" max="8" width="11.7109375" style="29" customWidth="1"/>
    <col min="9" max="11" width="13.85546875" style="14" customWidth="1"/>
    <col min="12" max="14" width="13.5703125" style="14" customWidth="1"/>
    <col min="15" max="15" width="17" style="15" customWidth="1"/>
    <col min="16" max="21" width="13.5703125" style="14" customWidth="1"/>
    <col min="22" max="22" width="16.7109375" style="15" customWidth="1"/>
    <col min="23" max="23" width="16.7109375" style="14" customWidth="1"/>
    <col min="24" max="24" width="15.42578125" style="15" customWidth="1"/>
    <col min="25" max="26" width="13.5703125" style="14" customWidth="1"/>
    <col min="27" max="27" width="15.42578125" style="15" customWidth="1"/>
    <col min="28" max="29" width="15.140625" style="53" hidden="1" customWidth="1"/>
    <col min="30" max="30" width="15.140625" style="29" hidden="1" customWidth="1"/>
    <col min="31" max="31" width="57" style="29" bestFit="1" customWidth="1"/>
    <col min="32" max="16384" width="19.5703125" style="29"/>
  </cols>
  <sheetData>
    <row r="1" spans="1:44" s="8" customFormat="1" x14ac:dyDescent="0.25">
      <c r="A1" s="4" t="s">
        <v>165</v>
      </c>
      <c r="B1" s="4"/>
      <c r="C1" s="4"/>
      <c r="D1" s="5"/>
      <c r="E1" s="5"/>
      <c r="F1" s="5"/>
      <c r="G1" s="5"/>
      <c r="H1" s="5"/>
      <c r="I1" s="6"/>
      <c r="J1" s="6"/>
      <c r="K1" s="6"/>
      <c r="L1" s="6"/>
      <c r="M1" s="6"/>
      <c r="N1" s="6"/>
      <c r="O1" s="7"/>
      <c r="P1" s="6"/>
      <c r="Q1" s="6"/>
      <c r="R1" s="6"/>
      <c r="S1" s="6"/>
      <c r="T1" s="6"/>
      <c r="U1" s="6"/>
      <c r="V1" s="7"/>
      <c r="W1" s="6"/>
      <c r="X1" s="7"/>
      <c r="Y1" s="6"/>
      <c r="Z1" s="6"/>
      <c r="AA1" s="7"/>
      <c r="AB1" s="52"/>
      <c r="AC1" s="52"/>
    </row>
    <row r="2" spans="1:44" s="8" customFormat="1" x14ac:dyDescent="0.25">
      <c r="A2" s="9" t="s">
        <v>166</v>
      </c>
      <c r="B2" s="9"/>
      <c r="C2" s="9"/>
      <c r="D2" s="10"/>
      <c r="E2" s="10"/>
      <c r="F2" s="10"/>
      <c r="G2" s="10"/>
      <c r="H2" s="10"/>
      <c r="I2" s="6"/>
      <c r="J2" s="6"/>
      <c r="K2" s="6"/>
      <c r="L2" s="6"/>
      <c r="M2" s="6"/>
      <c r="N2" s="6"/>
      <c r="O2" s="7"/>
      <c r="P2" s="6" t="s">
        <v>167</v>
      </c>
      <c r="Q2" s="6"/>
      <c r="R2" s="6"/>
      <c r="S2" s="6"/>
      <c r="T2" s="6"/>
      <c r="U2" s="6"/>
      <c r="V2" s="7"/>
      <c r="W2" s="6"/>
      <c r="X2" s="7"/>
      <c r="Y2" s="6"/>
      <c r="Z2" s="6"/>
      <c r="AA2" s="7"/>
      <c r="AB2" s="52"/>
      <c r="AC2" s="52"/>
    </row>
    <row r="3" spans="1:44" s="8" customFormat="1" x14ac:dyDescent="0.25">
      <c r="A3" s="11" t="s">
        <v>285</v>
      </c>
      <c r="B3" s="11"/>
      <c r="C3" s="11"/>
      <c r="D3" s="12"/>
      <c r="E3" s="12"/>
      <c r="F3" s="12"/>
      <c r="G3" s="12"/>
      <c r="H3" s="12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6"/>
      <c r="V3" s="7"/>
      <c r="W3" s="6"/>
      <c r="X3" s="7"/>
      <c r="Y3" s="6"/>
      <c r="Z3" s="6"/>
      <c r="AA3" s="7"/>
      <c r="AB3" s="52"/>
      <c r="AC3" s="52"/>
    </row>
    <row r="4" spans="1:44" s="13" customFormat="1" x14ac:dyDescent="0.25">
      <c r="I4" s="14"/>
      <c r="J4" s="14"/>
      <c r="K4" s="14"/>
      <c r="L4" s="14"/>
      <c r="M4" s="14"/>
      <c r="N4" s="14"/>
      <c r="O4" s="15"/>
      <c r="P4" s="14"/>
      <c r="Q4" s="14"/>
      <c r="R4" s="14"/>
      <c r="S4" s="14"/>
      <c r="T4" s="14"/>
      <c r="U4" s="14"/>
      <c r="V4" s="15"/>
      <c r="W4" s="14"/>
      <c r="X4" s="15"/>
      <c r="Y4" s="14"/>
      <c r="Z4" s="14"/>
      <c r="AA4" s="15"/>
      <c r="AB4" s="53"/>
      <c r="AC4" s="53"/>
    </row>
    <row r="5" spans="1:44" s="13" customFormat="1" ht="15.75" customHeight="1" x14ac:dyDescent="0.25">
      <c r="A5" s="218" t="s">
        <v>168</v>
      </c>
      <c r="B5" s="218" t="s">
        <v>123</v>
      </c>
      <c r="C5" s="218" t="s">
        <v>169</v>
      </c>
      <c r="D5" s="218" t="s">
        <v>170</v>
      </c>
      <c r="E5" s="212" t="s">
        <v>171</v>
      </c>
      <c r="F5" s="212" t="s">
        <v>172</v>
      </c>
      <c r="G5" s="50"/>
      <c r="H5" s="50"/>
      <c r="I5" s="212" t="s">
        <v>173</v>
      </c>
      <c r="J5" s="50"/>
      <c r="K5" s="50"/>
      <c r="L5" s="212" t="s">
        <v>174</v>
      </c>
      <c r="M5" s="212" t="s">
        <v>175</v>
      </c>
      <c r="N5" s="212" t="s">
        <v>176</v>
      </c>
      <c r="O5" s="212" t="s">
        <v>177</v>
      </c>
      <c r="P5" s="212" t="s">
        <v>178</v>
      </c>
      <c r="Q5" s="212" t="s">
        <v>282</v>
      </c>
      <c r="R5" s="212" t="s">
        <v>179</v>
      </c>
      <c r="S5" s="212" t="s">
        <v>180</v>
      </c>
      <c r="T5" s="212" t="s">
        <v>181</v>
      </c>
      <c r="U5" s="212" t="s">
        <v>124</v>
      </c>
      <c r="V5" s="212" t="s">
        <v>182</v>
      </c>
      <c r="W5" s="212" t="s">
        <v>183</v>
      </c>
      <c r="X5" s="212" t="s">
        <v>184</v>
      </c>
      <c r="Y5" s="212" t="s">
        <v>185</v>
      </c>
      <c r="Z5" s="212" t="s">
        <v>186</v>
      </c>
      <c r="AA5" s="212" t="s">
        <v>187</v>
      </c>
      <c r="AB5" s="214" t="s">
        <v>286</v>
      </c>
      <c r="AC5" s="215"/>
      <c r="AD5" s="216" t="s">
        <v>287</v>
      </c>
      <c r="AE5" s="54" t="s">
        <v>288</v>
      </c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s="13" customFormat="1" ht="31.5" x14ac:dyDescent="0.25">
      <c r="A6" s="218"/>
      <c r="B6" s="218"/>
      <c r="C6" s="218"/>
      <c r="D6" s="218"/>
      <c r="E6" s="213"/>
      <c r="F6" s="213"/>
      <c r="G6" s="51" t="s">
        <v>188</v>
      </c>
      <c r="H6" s="51" t="s">
        <v>189</v>
      </c>
      <c r="I6" s="213"/>
      <c r="J6" s="51" t="s">
        <v>148</v>
      </c>
      <c r="K6" s="51" t="s">
        <v>289</v>
      </c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55" t="s">
        <v>188</v>
      </c>
      <c r="AC6" s="55" t="s">
        <v>189</v>
      </c>
      <c r="AD6" s="216"/>
      <c r="AE6" s="54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s="28" customFormat="1" x14ac:dyDescent="0.25">
      <c r="A7" s="17" t="s">
        <v>190</v>
      </c>
      <c r="B7" s="17" t="s">
        <v>191</v>
      </c>
      <c r="C7" s="18" t="s">
        <v>14</v>
      </c>
      <c r="D7" s="17" t="s">
        <v>122</v>
      </c>
      <c r="E7" s="17"/>
      <c r="F7" s="17"/>
      <c r="G7" s="19">
        <v>1237.2399999999998</v>
      </c>
      <c r="H7" s="17">
        <v>-37.239999999999782</v>
      </c>
      <c r="I7" s="19">
        <f t="shared" ref="I7:I63" si="0">+G7+H7</f>
        <v>1200</v>
      </c>
      <c r="J7" s="19">
        <v>1641.9</v>
      </c>
      <c r="K7" s="19">
        <v>200.73</v>
      </c>
      <c r="L7" s="19"/>
      <c r="M7" s="19"/>
      <c r="N7" s="20">
        <v>45.15</v>
      </c>
      <c r="O7" s="21">
        <f t="shared" ref="O7:O64" si="1">SUM(I7:M7)-N7</f>
        <v>2997.48</v>
      </c>
      <c r="P7" s="22"/>
      <c r="Q7" s="23"/>
      <c r="R7" s="23"/>
      <c r="S7" s="23"/>
      <c r="T7" s="24"/>
      <c r="U7" s="24">
        <v>0</v>
      </c>
      <c r="V7" s="21">
        <f t="shared" ref="V7:V64" si="2">+O7-SUM(P7:U7)</f>
        <v>2997.48</v>
      </c>
      <c r="W7" s="25">
        <f t="shared" ref="W7:W64" si="3">IF(O7&gt;4500,O7*0.1,0)</f>
        <v>0</v>
      </c>
      <c r="X7" s="21">
        <f t="shared" ref="X7:X64" si="4">+V7-W7</f>
        <v>2997.48</v>
      </c>
      <c r="Y7" s="26">
        <f t="shared" ref="Y7:Y64" si="5">IF(O7&lt;4500,O7*0.1,0)</f>
        <v>299.74799999999999</v>
      </c>
      <c r="Z7" s="25">
        <f t="shared" ref="Z7:Z63" si="6">G7*0.02</f>
        <v>24.744799999999998</v>
      </c>
      <c r="AA7" s="21">
        <f>+O7+Y7+Z7</f>
        <v>3321.9728</v>
      </c>
      <c r="AB7" s="56">
        <v>1237.2</v>
      </c>
      <c r="AC7" s="56">
        <v>526.23</v>
      </c>
      <c r="AD7" s="57">
        <f>+AB7+AC7-X7</f>
        <v>-1234.05</v>
      </c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</row>
    <row r="8" spans="1:44" x14ac:dyDescent="0.25">
      <c r="A8" s="17" t="s">
        <v>192</v>
      </c>
      <c r="B8" s="17" t="s">
        <v>126</v>
      </c>
      <c r="C8" s="18" t="s">
        <v>16</v>
      </c>
      <c r="D8" s="17" t="s">
        <v>193</v>
      </c>
      <c r="E8" s="17" t="s">
        <v>194</v>
      </c>
      <c r="F8" s="17"/>
      <c r="G8" s="19">
        <v>1237.2399999999998</v>
      </c>
      <c r="H8" s="17">
        <v>2262.7600000000002</v>
      </c>
      <c r="I8" s="19">
        <f t="shared" si="0"/>
        <v>3500</v>
      </c>
      <c r="J8" s="19">
        <v>1777.5</v>
      </c>
      <c r="K8" s="19"/>
      <c r="L8" s="19"/>
      <c r="M8" s="19"/>
      <c r="N8" s="20">
        <v>45.15</v>
      </c>
      <c r="O8" s="21">
        <f t="shared" si="1"/>
        <v>5232.3500000000004</v>
      </c>
      <c r="P8" s="22"/>
      <c r="Q8" s="23"/>
      <c r="R8" s="23"/>
      <c r="S8" s="23"/>
      <c r="T8" s="24"/>
      <c r="U8" s="24">
        <v>0</v>
      </c>
      <c r="V8" s="21">
        <f t="shared" si="2"/>
        <v>5232.3500000000004</v>
      </c>
      <c r="W8" s="25">
        <f t="shared" si="3"/>
        <v>523.23500000000001</v>
      </c>
      <c r="X8" s="21">
        <f t="shared" si="4"/>
        <v>4709.1150000000007</v>
      </c>
      <c r="Y8" s="26">
        <f t="shared" si="5"/>
        <v>0</v>
      </c>
      <c r="Z8" s="25">
        <f t="shared" si="6"/>
        <v>24.744799999999998</v>
      </c>
      <c r="AA8" s="21">
        <f t="shared" ref="AA8:AA64" si="7">+O8+Y8+Z8</f>
        <v>5257.0948000000008</v>
      </c>
      <c r="AB8" s="56">
        <v>1237.2</v>
      </c>
      <c r="AC8" s="56">
        <v>3512.55</v>
      </c>
      <c r="AD8" s="57">
        <f t="shared" ref="AD8:AD62" si="8">+AB8+AC8-X8</f>
        <v>40.634999999999309</v>
      </c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</row>
    <row r="9" spans="1:44" x14ac:dyDescent="0.25">
      <c r="A9" s="17" t="s">
        <v>192</v>
      </c>
      <c r="B9" s="17" t="s">
        <v>195</v>
      </c>
      <c r="C9" s="18" t="s">
        <v>18</v>
      </c>
      <c r="D9" s="17" t="s">
        <v>196</v>
      </c>
      <c r="E9" s="17" t="s">
        <v>194</v>
      </c>
      <c r="F9" s="17"/>
      <c r="G9" s="19">
        <v>1237.2399999999998</v>
      </c>
      <c r="H9" s="17">
        <v>12.760000000000218</v>
      </c>
      <c r="I9" s="19">
        <f t="shared" si="0"/>
        <v>1250</v>
      </c>
      <c r="J9" s="19">
        <v>2500</v>
      </c>
      <c r="K9" s="19">
        <v>200.73</v>
      </c>
      <c r="L9" s="19"/>
      <c r="M9" s="19"/>
      <c r="N9" s="20">
        <v>45.15</v>
      </c>
      <c r="O9" s="21">
        <f t="shared" si="1"/>
        <v>3905.58</v>
      </c>
      <c r="P9" s="22"/>
      <c r="Q9" s="23"/>
      <c r="R9" s="23"/>
      <c r="S9" s="23"/>
      <c r="T9" s="24"/>
      <c r="U9" s="24">
        <v>0</v>
      </c>
      <c r="V9" s="21">
        <f t="shared" si="2"/>
        <v>3905.58</v>
      </c>
      <c r="W9" s="25">
        <f t="shared" si="3"/>
        <v>0</v>
      </c>
      <c r="X9" s="21">
        <f t="shared" si="4"/>
        <v>3905.58</v>
      </c>
      <c r="Y9" s="26">
        <f t="shared" si="5"/>
        <v>390.55799999999999</v>
      </c>
      <c r="Z9" s="25">
        <f t="shared" si="6"/>
        <v>24.744799999999998</v>
      </c>
      <c r="AA9" s="21">
        <f t="shared" si="7"/>
        <v>4320.8828000000003</v>
      </c>
      <c r="AB9" s="56">
        <v>1237.2</v>
      </c>
      <c r="AC9" s="56">
        <v>796.87</v>
      </c>
      <c r="AD9" s="57">
        <f t="shared" si="8"/>
        <v>-1871.5099999999998</v>
      </c>
      <c r="AE9" s="16"/>
      <c r="AF9" s="16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</row>
    <row r="10" spans="1:44" x14ac:dyDescent="0.25">
      <c r="A10" s="17" t="s">
        <v>192</v>
      </c>
      <c r="B10" s="17" t="s">
        <v>197</v>
      </c>
      <c r="C10" s="18" t="s">
        <v>20</v>
      </c>
      <c r="D10" s="17" t="s">
        <v>198</v>
      </c>
      <c r="E10" s="17"/>
      <c r="F10" s="17"/>
      <c r="G10" s="19">
        <v>1237.2399999999998</v>
      </c>
      <c r="H10" s="17">
        <v>2262.7600000000002</v>
      </c>
      <c r="I10" s="19">
        <f t="shared" si="0"/>
        <v>3500</v>
      </c>
      <c r="J10" s="19">
        <v>15486.79</v>
      </c>
      <c r="K10" s="19">
        <v>125.12</v>
      </c>
      <c r="L10" s="19"/>
      <c r="M10" s="19"/>
      <c r="N10" s="20">
        <v>45.15</v>
      </c>
      <c r="O10" s="21">
        <f t="shared" si="1"/>
        <v>19066.759999999998</v>
      </c>
      <c r="P10" s="22"/>
      <c r="Q10" s="23"/>
      <c r="R10" s="23"/>
      <c r="S10" s="23"/>
      <c r="T10" s="24"/>
      <c r="U10" s="24">
        <v>2181.2800000000002</v>
      </c>
      <c r="V10" s="21">
        <f t="shared" si="2"/>
        <v>16885.48</v>
      </c>
      <c r="W10" s="25">
        <f t="shared" si="3"/>
        <v>1906.6759999999999</v>
      </c>
      <c r="X10" s="21">
        <f t="shared" si="4"/>
        <v>14978.804</v>
      </c>
      <c r="Y10" s="26">
        <f t="shared" si="5"/>
        <v>0</v>
      </c>
      <c r="Z10" s="25">
        <f t="shared" si="6"/>
        <v>24.744799999999998</v>
      </c>
      <c r="AA10" s="21">
        <f t="shared" si="7"/>
        <v>19091.504799999999</v>
      </c>
      <c r="AB10" s="56">
        <v>1237.2</v>
      </c>
      <c r="AC10" s="56">
        <v>206.64</v>
      </c>
      <c r="AD10" s="57">
        <f t="shared" si="8"/>
        <v>-13534.964</v>
      </c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</row>
    <row r="11" spans="1:44" x14ac:dyDescent="0.25">
      <c r="A11" s="17" t="s">
        <v>192</v>
      </c>
      <c r="B11" s="17" t="s">
        <v>127</v>
      </c>
      <c r="C11" s="18" t="s">
        <v>22</v>
      </c>
      <c r="D11" s="17" t="s">
        <v>199</v>
      </c>
      <c r="E11" s="17"/>
      <c r="F11" s="17"/>
      <c r="G11" s="19">
        <v>1237.2399999999998</v>
      </c>
      <c r="H11" s="17">
        <v>1012.7600000000002</v>
      </c>
      <c r="I11" s="19">
        <f t="shared" si="0"/>
        <v>2250</v>
      </c>
      <c r="J11" s="19">
        <v>2000</v>
      </c>
      <c r="K11" s="19">
        <v>174.78</v>
      </c>
      <c r="L11" s="19"/>
      <c r="M11" s="19"/>
      <c r="N11" s="20">
        <v>45.15</v>
      </c>
      <c r="O11" s="21">
        <f t="shared" si="1"/>
        <v>4379.63</v>
      </c>
      <c r="P11" s="22"/>
      <c r="Q11" s="23"/>
      <c r="R11" s="23"/>
      <c r="S11" s="23"/>
      <c r="T11" s="24"/>
      <c r="U11" s="24">
        <v>902.31</v>
      </c>
      <c r="V11" s="21">
        <f t="shared" si="2"/>
        <v>3477.32</v>
      </c>
      <c r="W11" s="25">
        <f t="shared" si="3"/>
        <v>0</v>
      </c>
      <c r="X11" s="21">
        <f t="shared" si="4"/>
        <v>3477.32</v>
      </c>
      <c r="Y11" s="26">
        <f t="shared" si="5"/>
        <v>437.96300000000002</v>
      </c>
      <c r="Z11" s="25">
        <f t="shared" si="6"/>
        <v>24.744799999999998</v>
      </c>
      <c r="AA11" s="21">
        <f t="shared" si="7"/>
        <v>4842.3378000000002</v>
      </c>
      <c r="AB11" s="56">
        <v>1237.2</v>
      </c>
      <c r="AC11" s="56">
        <v>285.27</v>
      </c>
      <c r="AD11" s="57">
        <f t="shared" si="8"/>
        <v>-1954.8500000000001</v>
      </c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</row>
    <row r="12" spans="1:44" x14ac:dyDescent="0.25">
      <c r="A12" s="17" t="s">
        <v>200</v>
      </c>
      <c r="B12" s="17" t="s">
        <v>201</v>
      </c>
      <c r="C12" s="17" t="s">
        <v>141</v>
      </c>
      <c r="D12" s="17" t="s">
        <v>290</v>
      </c>
      <c r="E12" s="17"/>
      <c r="F12" s="17"/>
      <c r="G12" s="19">
        <v>1237.2399999999998</v>
      </c>
      <c r="H12" s="17">
        <v>1262.7600000000002</v>
      </c>
      <c r="I12" s="19">
        <f t="shared" si="0"/>
        <v>2500</v>
      </c>
      <c r="J12" s="19">
        <v>3750</v>
      </c>
      <c r="K12" s="19">
        <v>160.38</v>
      </c>
      <c r="L12" s="19"/>
      <c r="M12" s="19"/>
      <c r="N12" s="20">
        <v>45.15</v>
      </c>
      <c r="O12" s="21">
        <f t="shared" si="1"/>
        <v>6365.2300000000005</v>
      </c>
      <c r="P12" s="22"/>
      <c r="Q12" s="23"/>
      <c r="R12" s="23"/>
      <c r="S12" s="23"/>
      <c r="T12" s="24"/>
      <c r="U12" s="24">
        <v>0</v>
      </c>
      <c r="V12" s="21">
        <f t="shared" si="2"/>
        <v>6365.2300000000005</v>
      </c>
      <c r="W12" s="25">
        <f t="shared" si="3"/>
        <v>636.52300000000014</v>
      </c>
      <c r="X12" s="21">
        <f t="shared" si="4"/>
        <v>5728.7070000000003</v>
      </c>
      <c r="Y12" s="26">
        <f t="shared" si="5"/>
        <v>0</v>
      </c>
      <c r="Z12" s="25">
        <f t="shared" si="6"/>
        <v>24.744799999999998</v>
      </c>
      <c r="AA12" s="21">
        <f t="shared" si="7"/>
        <v>6389.9748000000009</v>
      </c>
      <c r="AB12" s="56">
        <v>1237.2</v>
      </c>
      <c r="AC12" s="56">
        <v>1423.18</v>
      </c>
      <c r="AD12" s="57">
        <f t="shared" si="8"/>
        <v>-3068.3270000000002</v>
      </c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</row>
    <row r="13" spans="1:44" x14ac:dyDescent="0.25">
      <c r="A13" s="17" t="s">
        <v>192</v>
      </c>
      <c r="B13" s="17" t="s">
        <v>202</v>
      </c>
      <c r="C13" s="18" t="s">
        <v>26</v>
      </c>
      <c r="D13" s="17" t="s">
        <v>291</v>
      </c>
      <c r="E13" s="17" t="s">
        <v>194</v>
      </c>
      <c r="F13" s="17"/>
      <c r="G13" s="19">
        <v>1237.2399999999998</v>
      </c>
      <c r="H13" s="17">
        <v>1262.7600000000002</v>
      </c>
      <c r="I13" s="19">
        <f t="shared" si="0"/>
        <v>2500</v>
      </c>
      <c r="J13" s="19">
        <v>6081.55</v>
      </c>
      <c r="K13" s="19">
        <v>160.38</v>
      </c>
      <c r="L13" s="19"/>
      <c r="M13" s="19"/>
      <c r="N13" s="20">
        <v>45.15</v>
      </c>
      <c r="O13" s="21">
        <f t="shared" si="1"/>
        <v>8696.7799999999988</v>
      </c>
      <c r="P13" s="22"/>
      <c r="Q13" s="23"/>
      <c r="R13" s="23"/>
      <c r="S13" s="23"/>
      <c r="T13" s="24"/>
      <c r="U13" s="24"/>
      <c r="V13" s="21">
        <f t="shared" si="2"/>
        <v>8696.7799999999988</v>
      </c>
      <c r="W13" s="25">
        <f t="shared" si="3"/>
        <v>869.67799999999988</v>
      </c>
      <c r="X13" s="21">
        <f t="shared" si="4"/>
        <v>7827.101999999999</v>
      </c>
      <c r="Y13" s="26">
        <f t="shared" si="5"/>
        <v>0</v>
      </c>
      <c r="Z13" s="25">
        <f t="shared" si="6"/>
        <v>24.744799999999998</v>
      </c>
      <c r="AA13" s="21">
        <f t="shared" si="7"/>
        <v>8721.5247999999992</v>
      </c>
      <c r="AB13" s="56">
        <v>1237.2</v>
      </c>
      <c r="AC13" s="56">
        <v>1423.18</v>
      </c>
      <c r="AD13" s="57">
        <f t="shared" si="8"/>
        <v>-5166.7219999999988</v>
      </c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</row>
    <row r="14" spans="1:44" x14ac:dyDescent="0.25">
      <c r="A14" s="17" t="s">
        <v>192</v>
      </c>
      <c r="B14" s="17" t="s">
        <v>292</v>
      </c>
      <c r="C14" s="18" t="s">
        <v>28</v>
      </c>
      <c r="D14" s="17" t="s">
        <v>204</v>
      </c>
      <c r="E14" s="31"/>
      <c r="F14" s="31"/>
      <c r="G14" s="19">
        <v>1237.2399999999998</v>
      </c>
      <c r="H14" s="31">
        <v>5262.76</v>
      </c>
      <c r="I14" s="19">
        <f t="shared" si="0"/>
        <v>6500</v>
      </c>
      <c r="J14" s="19"/>
      <c r="K14" s="19">
        <v>0</v>
      </c>
      <c r="L14" s="32"/>
      <c r="M14" s="32"/>
      <c r="N14" s="20">
        <v>45.15</v>
      </c>
      <c r="O14" s="21">
        <f t="shared" si="1"/>
        <v>6454.85</v>
      </c>
      <c r="P14" s="22"/>
      <c r="Q14" s="23"/>
      <c r="R14" s="23"/>
      <c r="S14" s="23"/>
      <c r="T14" s="24"/>
      <c r="U14" s="24">
        <v>0</v>
      </c>
      <c r="V14" s="21">
        <f t="shared" si="2"/>
        <v>6454.85</v>
      </c>
      <c r="W14" s="25">
        <f t="shared" si="3"/>
        <v>645.48500000000013</v>
      </c>
      <c r="X14" s="21">
        <f t="shared" si="4"/>
        <v>5809.3649999999998</v>
      </c>
      <c r="Y14" s="26">
        <f t="shared" si="5"/>
        <v>0</v>
      </c>
      <c r="Z14" s="25">
        <f t="shared" si="6"/>
        <v>24.744799999999998</v>
      </c>
      <c r="AA14" s="21">
        <f t="shared" si="7"/>
        <v>6479.5948000000008</v>
      </c>
      <c r="AB14" s="56">
        <v>1237.2</v>
      </c>
      <c r="AC14" s="56">
        <v>4695.3999999999996</v>
      </c>
      <c r="AD14" s="57">
        <f t="shared" si="8"/>
        <v>123.23499999999967</v>
      </c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</row>
    <row r="15" spans="1:44" x14ac:dyDescent="0.25">
      <c r="A15" s="17" t="s">
        <v>190</v>
      </c>
      <c r="B15" s="17" t="s">
        <v>205</v>
      </c>
      <c r="C15" s="18" t="s">
        <v>32</v>
      </c>
      <c r="D15" s="17" t="s">
        <v>206</v>
      </c>
      <c r="E15" s="17" t="s">
        <v>194</v>
      </c>
      <c r="F15" s="17"/>
      <c r="G15" s="19">
        <v>1237.2399999999998</v>
      </c>
      <c r="H15" s="17">
        <v>162.76000000000022</v>
      </c>
      <c r="I15" s="19">
        <f t="shared" si="0"/>
        <v>1400</v>
      </c>
      <c r="J15" s="19">
        <v>1200</v>
      </c>
      <c r="K15" s="19">
        <v>200.73</v>
      </c>
      <c r="L15" s="19"/>
      <c r="M15" s="19"/>
      <c r="N15" s="20">
        <v>45.15</v>
      </c>
      <c r="O15" s="21">
        <f t="shared" si="1"/>
        <v>2755.58</v>
      </c>
      <c r="P15" s="22"/>
      <c r="Q15" s="23"/>
      <c r="R15" s="23"/>
      <c r="S15" s="23"/>
      <c r="T15" s="24"/>
      <c r="U15" s="24">
        <v>0</v>
      </c>
      <c r="V15" s="21">
        <f t="shared" si="2"/>
        <v>2755.58</v>
      </c>
      <c r="W15" s="25">
        <f t="shared" si="3"/>
        <v>0</v>
      </c>
      <c r="X15" s="21">
        <f t="shared" si="4"/>
        <v>2755.58</v>
      </c>
      <c r="Y15" s="26">
        <f t="shared" si="5"/>
        <v>275.55799999999999</v>
      </c>
      <c r="Z15" s="25">
        <f t="shared" si="6"/>
        <v>24.744799999999998</v>
      </c>
      <c r="AA15" s="21">
        <f t="shared" si="7"/>
        <v>3055.8827999999999</v>
      </c>
      <c r="AB15" s="56">
        <v>1237.2</v>
      </c>
      <c r="AC15" s="56">
        <v>363.73</v>
      </c>
      <c r="AD15" s="57">
        <f t="shared" si="8"/>
        <v>-1154.6499999999999</v>
      </c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</row>
    <row r="16" spans="1:44" x14ac:dyDescent="0.25">
      <c r="A16" s="17" t="s">
        <v>192</v>
      </c>
      <c r="B16" s="17" t="s">
        <v>207</v>
      </c>
      <c r="C16" s="18" t="s">
        <v>34</v>
      </c>
      <c r="D16" s="17" t="s">
        <v>206</v>
      </c>
      <c r="E16" s="17"/>
      <c r="F16" s="17"/>
      <c r="G16" s="19">
        <v>1237.2399999999998</v>
      </c>
      <c r="H16" s="17">
        <v>162.76000000000022</v>
      </c>
      <c r="I16" s="19">
        <f t="shared" si="0"/>
        <v>1400</v>
      </c>
      <c r="J16" s="19">
        <v>1200</v>
      </c>
      <c r="K16" s="19">
        <v>200.73</v>
      </c>
      <c r="L16" s="19"/>
      <c r="M16" s="19"/>
      <c r="N16" s="20">
        <v>45.15</v>
      </c>
      <c r="O16" s="21">
        <f t="shared" si="1"/>
        <v>2755.58</v>
      </c>
      <c r="P16" s="22"/>
      <c r="Q16" s="23"/>
      <c r="R16" s="23"/>
      <c r="S16" s="23"/>
      <c r="T16" s="24"/>
      <c r="U16" s="24">
        <v>0</v>
      </c>
      <c r="V16" s="21">
        <f t="shared" si="2"/>
        <v>2755.58</v>
      </c>
      <c r="W16" s="25">
        <f t="shared" si="3"/>
        <v>0</v>
      </c>
      <c r="X16" s="21">
        <f t="shared" si="4"/>
        <v>2755.58</v>
      </c>
      <c r="Y16" s="26">
        <f t="shared" si="5"/>
        <v>275.55799999999999</v>
      </c>
      <c r="Z16" s="25">
        <f t="shared" si="6"/>
        <v>24.744799999999998</v>
      </c>
      <c r="AA16" s="21">
        <f t="shared" si="7"/>
        <v>3055.8827999999999</v>
      </c>
      <c r="AB16" s="56">
        <v>1237.2</v>
      </c>
      <c r="AC16" s="56">
        <v>363.53</v>
      </c>
      <c r="AD16" s="57">
        <f t="shared" si="8"/>
        <v>-1154.8499999999999</v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</row>
    <row r="17" spans="1:44" x14ac:dyDescent="0.25">
      <c r="A17" s="17" t="s">
        <v>192</v>
      </c>
      <c r="B17" s="17" t="s">
        <v>128</v>
      </c>
      <c r="C17" s="18" t="s">
        <v>36</v>
      </c>
      <c r="D17" s="17" t="s">
        <v>208</v>
      </c>
      <c r="E17" s="17" t="s">
        <v>194</v>
      </c>
      <c r="F17" s="31"/>
      <c r="G17" s="19">
        <v>1237.2399999999998</v>
      </c>
      <c r="H17" s="31">
        <v>1262.7600000000002</v>
      </c>
      <c r="I17" s="19">
        <f t="shared" si="0"/>
        <v>2500</v>
      </c>
      <c r="J17" s="19">
        <v>1000</v>
      </c>
      <c r="K17" s="19">
        <v>160.38</v>
      </c>
      <c r="L17" s="32"/>
      <c r="M17" s="32"/>
      <c r="N17" s="20">
        <v>45.15</v>
      </c>
      <c r="O17" s="21">
        <f t="shared" si="1"/>
        <v>3615.23</v>
      </c>
      <c r="P17" s="22"/>
      <c r="Q17" s="23"/>
      <c r="R17" s="23"/>
      <c r="S17" s="23"/>
      <c r="T17" s="24"/>
      <c r="U17" s="24">
        <v>1551.8</v>
      </c>
      <c r="V17" s="21">
        <f t="shared" si="2"/>
        <v>2063.4300000000003</v>
      </c>
      <c r="W17" s="25">
        <f t="shared" si="3"/>
        <v>0</v>
      </c>
      <c r="X17" s="21">
        <f t="shared" si="4"/>
        <v>2063.4300000000003</v>
      </c>
      <c r="Y17" s="26">
        <f t="shared" si="5"/>
        <v>361.52300000000002</v>
      </c>
      <c r="Z17" s="25">
        <f t="shared" si="6"/>
        <v>24.744799999999998</v>
      </c>
      <c r="AA17" s="21">
        <f t="shared" si="7"/>
        <v>4001.4978000000001</v>
      </c>
      <c r="AB17" s="56">
        <v>1237.2</v>
      </c>
      <c r="AC17" s="56">
        <v>1532.84</v>
      </c>
      <c r="AD17" s="57">
        <f t="shared" si="8"/>
        <v>706.60999999999967</v>
      </c>
      <c r="AE17" s="16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</row>
    <row r="18" spans="1:44" x14ac:dyDescent="0.25">
      <c r="A18" s="17" t="s">
        <v>192</v>
      </c>
      <c r="B18" s="17" t="s">
        <v>209</v>
      </c>
      <c r="C18" s="18" t="s">
        <v>38</v>
      </c>
      <c r="D18" s="17" t="s">
        <v>210</v>
      </c>
      <c r="E18" s="17"/>
      <c r="F18" s="17"/>
      <c r="G18" s="19">
        <v>1237.2399999999998</v>
      </c>
      <c r="H18" s="17">
        <v>1512.7600000000002</v>
      </c>
      <c r="I18" s="19">
        <f t="shared" si="0"/>
        <v>2750</v>
      </c>
      <c r="J18" s="19">
        <v>2250</v>
      </c>
      <c r="K18" s="19">
        <v>145.37</v>
      </c>
      <c r="L18" s="19"/>
      <c r="M18" s="19"/>
      <c r="N18" s="20">
        <v>45.15</v>
      </c>
      <c r="O18" s="21">
        <f t="shared" si="1"/>
        <v>5100.22</v>
      </c>
      <c r="P18" s="22">
        <v>183.33</v>
      </c>
      <c r="Q18" s="23"/>
      <c r="R18" s="23"/>
      <c r="S18" s="23"/>
      <c r="T18" s="24"/>
      <c r="U18" s="24">
        <v>0</v>
      </c>
      <c r="V18" s="21">
        <f t="shared" si="2"/>
        <v>4916.8900000000003</v>
      </c>
      <c r="W18" s="25">
        <f t="shared" si="3"/>
        <v>510.02200000000005</v>
      </c>
      <c r="X18" s="21">
        <f t="shared" si="4"/>
        <v>4406.8680000000004</v>
      </c>
      <c r="Y18" s="26">
        <f t="shared" si="5"/>
        <v>0</v>
      </c>
      <c r="Z18" s="25">
        <f t="shared" si="6"/>
        <v>24.744799999999998</v>
      </c>
      <c r="AA18" s="21">
        <f t="shared" si="7"/>
        <v>5124.9648000000007</v>
      </c>
      <c r="AB18" s="56">
        <v>1237.2</v>
      </c>
      <c r="AC18" s="56">
        <v>1474.84</v>
      </c>
      <c r="AD18" s="57">
        <f t="shared" si="8"/>
        <v>-1694.8280000000004</v>
      </c>
      <c r="AE18" s="49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</row>
    <row r="19" spans="1:44" x14ac:dyDescent="0.25">
      <c r="A19" s="17" t="s">
        <v>192</v>
      </c>
      <c r="B19" s="17" t="s">
        <v>211</v>
      </c>
      <c r="C19" s="18" t="s">
        <v>40</v>
      </c>
      <c r="D19" s="17" t="s">
        <v>203</v>
      </c>
      <c r="E19" s="17" t="s">
        <v>194</v>
      </c>
      <c r="F19" s="31"/>
      <c r="G19" s="19">
        <v>1237.2399999999998</v>
      </c>
      <c r="H19" s="31">
        <v>1262.7600000000002</v>
      </c>
      <c r="I19" s="19">
        <f t="shared" si="0"/>
        <v>2500</v>
      </c>
      <c r="J19" s="19">
        <v>3000</v>
      </c>
      <c r="K19" s="19">
        <v>160.38</v>
      </c>
      <c r="L19" s="34"/>
      <c r="M19" s="32"/>
      <c r="N19" s="20">
        <v>45.15</v>
      </c>
      <c r="O19" s="21">
        <f t="shared" si="1"/>
        <v>5615.2300000000005</v>
      </c>
      <c r="P19" s="22"/>
      <c r="Q19" s="23"/>
      <c r="R19" s="23"/>
      <c r="S19" s="23"/>
      <c r="T19" s="24"/>
      <c r="U19" s="24">
        <v>0</v>
      </c>
      <c r="V19" s="21">
        <f t="shared" si="2"/>
        <v>5615.2300000000005</v>
      </c>
      <c r="W19" s="25">
        <f t="shared" si="3"/>
        <v>561.52300000000002</v>
      </c>
      <c r="X19" s="21">
        <f t="shared" si="4"/>
        <v>5053.7070000000003</v>
      </c>
      <c r="Y19" s="26">
        <f t="shared" si="5"/>
        <v>0</v>
      </c>
      <c r="Z19" s="25">
        <f t="shared" si="6"/>
        <v>24.744799999999998</v>
      </c>
      <c r="AA19" s="21">
        <f t="shared" si="7"/>
        <v>5639.9748000000009</v>
      </c>
      <c r="AB19" s="56">
        <v>1237.2</v>
      </c>
      <c r="AC19" s="56">
        <v>1245.27</v>
      </c>
      <c r="AD19" s="58">
        <f t="shared" si="8"/>
        <v>-2571.2370000000001</v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</row>
    <row r="20" spans="1:44" x14ac:dyDescent="0.25">
      <c r="A20" s="17" t="s">
        <v>190</v>
      </c>
      <c r="B20" s="17" t="s">
        <v>293</v>
      </c>
      <c r="C20" s="18"/>
      <c r="D20" s="17" t="s">
        <v>122</v>
      </c>
      <c r="E20" s="17"/>
      <c r="F20" s="31"/>
      <c r="G20" s="19">
        <v>1237.24</v>
      </c>
      <c r="H20" s="31">
        <v>-37.24</v>
      </c>
      <c r="I20" s="19">
        <f t="shared" si="0"/>
        <v>1200</v>
      </c>
      <c r="J20" s="19">
        <v>1800</v>
      </c>
      <c r="K20" s="19"/>
      <c r="L20" s="34"/>
      <c r="M20" s="32"/>
      <c r="N20" s="20">
        <v>45.15</v>
      </c>
      <c r="O20" s="21">
        <f t="shared" si="1"/>
        <v>2954.85</v>
      </c>
      <c r="P20" s="22"/>
      <c r="Q20" s="23"/>
      <c r="R20" s="23"/>
      <c r="S20" s="23"/>
      <c r="T20" s="24"/>
      <c r="U20" s="24"/>
      <c r="V20" s="21">
        <f t="shared" si="2"/>
        <v>2954.85</v>
      </c>
      <c r="W20" s="25">
        <f t="shared" si="3"/>
        <v>0</v>
      </c>
      <c r="X20" s="21">
        <f t="shared" si="4"/>
        <v>2954.85</v>
      </c>
      <c r="Y20" s="26">
        <f t="shared" si="5"/>
        <v>295.48500000000001</v>
      </c>
      <c r="Z20" s="25">
        <f t="shared" si="6"/>
        <v>24.744800000000001</v>
      </c>
      <c r="AA20" s="21">
        <f t="shared" si="7"/>
        <v>3275.0798</v>
      </c>
      <c r="AB20" s="56"/>
      <c r="AC20" s="56"/>
      <c r="AD20" s="58"/>
      <c r="AE20" s="33"/>
      <c r="AF20" s="33"/>
      <c r="AG20" s="33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</row>
    <row r="21" spans="1:44" x14ac:dyDescent="0.25">
      <c r="A21" s="17" t="s">
        <v>200</v>
      </c>
      <c r="B21" s="17" t="s">
        <v>212</v>
      </c>
      <c r="C21" s="17" t="s">
        <v>42</v>
      </c>
      <c r="D21" s="17" t="s">
        <v>213</v>
      </c>
      <c r="E21" s="17"/>
      <c r="F21" s="17"/>
      <c r="G21" s="19">
        <v>1237.2399999999998</v>
      </c>
      <c r="H21" s="17">
        <v>6262.76</v>
      </c>
      <c r="I21" s="19">
        <f t="shared" si="0"/>
        <v>7500</v>
      </c>
      <c r="J21" s="19">
        <v>97564.68</v>
      </c>
      <c r="K21" s="19">
        <v>0</v>
      </c>
      <c r="L21" s="19"/>
      <c r="M21" s="19"/>
      <c r="N21" s="20">
        <v>45.15</v>
      </c>
      <c r="O21" s="21">
        <f t="shared" si="1"/>
        <v>105019.53</v>
      </c>
      <c r="P21" s="22"/>
      <c r="Q21" s="23"/>
      <c r="R21" s="23"/>
      <c r="S21" s="23"/>
      <c r="T21" s="24"/>
      <c r="U21" s="24">
        <v>0</v>
      </c>
      <c r="V21" s="21">
        <f t="shared" si="2"/>
        <v>105019.53</v>
      </c>
      <c r="W21" s="25">
        <f t="shared" si="3"/>
        <v>10501.953000000001</v>
      </c>
      <c r="X21" s="21">
        <f t="shared" si="4"/>
        <v>94517.57699999999</v>
      </c>
      <c r="Y21" s="26">
        <f t="shared" si="5"/>
        <v>0</v>
      </c>
      <c r="Z21" s="25">
        <f>G21*0.02</f>
        <v>24.744799999999998</v>
      </c>
      <c r="AA21" s="21">
        <f>+O21+Y21+Z21</f>
        <v>105044.2748</v>
      </c>
      <c r="AB21" s="56">
        <v>1237.2</v>
      </c>
      <c r="AC21" s="56">
        <v>5512.8</v>
      </c>
      <c r="AD21" s="57">
        <f t="shared" si="8"/>
        <v>-87767.57699999999</v>
      </c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</row>
    <row r="22" spans="1:44" x14ac:dyDescent="0.25">
      <c r="A22" s="17" t="s">
        <v>190</v>
      </c>
      <c r="B22" s="17" t="s">
        <v>136</v>
      </c>
      <c r="C22" s="18" t="s">
        <v>44</v>
      </c>
      <c r="D22" s="17" t="s">
        <v>214</v>
      </c>
      <c r="E22" s="17"/>
      <c r="F22" s="17"/>
      <c r="G22" s="19">
        <v>1237.2399999999998</v>
      </c>
      <c r="H22" s="17">
        <v>-37.239999999999782</v>
      </c>
      <c r="I22" s="19">
        <f t="shared" si="0"/>
        <v>1200</v>
      </c>
      <c r="J22" s="19">
        <v>2400.86</v>
      </c>
      <c r="K22" s="19">
        <v>0</v>
      </c>
      <c r="L22" s="19"/>
      <c r="M22" s="19"/>
      <c r="N22" s="20">
        <v>45.15</v>
      </c>
      <c r="O22" s="21">
        <f t="shared" si="1"/>
        <v>3555.71</v>
      </c>
      <c r="P22" s="22"/>
      <c r="Q22" s="23"/>
      <c r="R22" s="23"/>
      <c r="S22" s="23"/>
      <c r="T22" s="24"/>
      <c r="U22" s="24">
        <v>0</v>
      </c>
      <c r="V22" s="21">
        <f t="shared" si="2"/>
        <v>3555.71</v>
      </c>
      <c r="W22" s="25">
        <f t="shared" si="3"/>
        <v>0</v>
      </c>
      <c r="X22" s="21">
        <f t="shared" si="4"/>
        <v>3555.71</v>
      </c>
      <c r="Y22" s="26">
        <f t="shared" si="5"/>
        <v>355.57100000000003</v>
      </c>
      <c r="Z22" s="25">
        <f t="shared" si="6"/>
        <v>24.744799999999998</v>
      </c>
      <c r="AA22" s="21">
        <f t="shared" si="7"/>
        <v>3936.0257999999999</v>
      </c>
      <c r="AB22" s="56">
        <v>1237.2</v>
      </c>
      <c r="AC22" s="56">
        <v>2400.65</v>
      </c>
      <c r="AD22" s="58">
        <f t="shared" si="8"/>
        <v>82.140000000000327</v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</row>
    <row r="23" spans="1:44" x14ac:dyDescent="0.25">
      <c r="A23" s="17" t="s">
        <v>200</v>
      </c>
      <c r="B23" s="17" t="s">
        <v>294</v>
      </c>
      <c r="C23" s="18" t="s">
        <v>159</v>
      </c>
      <c r="D23" s="17" t="s">
        <v>215</v>
      </c>
      <c r="E23" s="17"/>
      <c r="F23" s="17"/>
      <c r="G23" s="19">
        <v>1237.24</v>
      </c>
      <c r="H23" s="17">
        <v>1262.76</v>
      </c>
      <c r="I23" s="19">
        <f t="shared" si="0"/>
        <v>2500</v>
      </c>
      <c r="J23" s="19">
        <v>2500</v>
      </c>
      <c r="K23" s="19">
        <v>160.38</v>
      </c>
      <c r="L23" s="19"/>
      <c r="M23" s="19"/>
      <c r="N23" s="20">
        <v>45.15</v>
      </c>
      <c r="O23" s="21">
        <f t="shared" si="1"/>
        <v>5115.2300000000005</v>
      </c>
      <c r="P23" s="22"/>
      <c r="Q23" s="23"/>
      <c r="R23" s="23"/>
      <c r="S23" s="23"/>
      <c r="T23" s="24"/>
      <c r="U23" s="24">
        <v>0</v>
      </c>
      <c r="V23" s="21">
        <f t="shared" si="2"/>
        <v>5115.2300000000005</v>
      </c>
      <c r="W23" s="25">
        <f t="shared" si="3"/>
        <v>511.52300000000008</v>
      </c>
      <c r="X23" s="21">
        <f t="shared" si="4"/>
        <v>4603.7070000000003</v>
      </c>
      <c r="Y23" s="26">
        <f t="shared" si="5"/>
        <v>0</v>
      </c>
      <c r="Z23" s="25">
        <f t="shared" si="6"/>
        <v>24.744800000000001</v>
      </c>
      <c r="AA23" s="21">
        <f t="shared" si="7"/>
        <v>5139.9748000000009</v>
      </c>
      <c r="AB23" s="56">
        <v>1237.2</v>
      </c>
      <c r="AC23" s="56">
        <v>1405.7</v>
      </c>
      <c r="AD23" s="58">
        <f t="shared" si="8"/>
        <v>-1960.8070000000002</v>
      </c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</row>
    <row r="24" spans="1:44" x14ac:dyDescent="0.25">
      <c r="A24" s="17" t="s">
        <v>190</v>
      </c>
      <c r="B24" s="17" t="s">
        <v>216</v>
      </c>
      <c r="C24" s="18" t="s">
        <v>46</v>
      </c>
      <c r="D24" s="17" t="s">
        <v>122</v>
      </c>
      <c r="E24" s="17"/>
      <c r="F24" s="17"/>
      <c r="G24" s="19">
        <v>1237.2399999999998</v>
      </c>
      <c r="H24" s="17">
        <v>-37.239999999999782</v>
      </c>
      <c r="I24" s="19">
        <f t="shared" si="0"/>
        <v>1200</v>
      </c>
      <c r="J24" s="19">
        <v>292.5</v>
      </c>
      <c r="K24" s="19">
        <v>0</v>
      </c>
      <c r="L24" s="19"/>
      <c r="M24" s="19"/>
      <c r="N24" s="20">
        <v>45.15</v>
      </c>
      <c r="O24" s="21">
        <f t="shared" si="1"/>
        <v>1447.35</v>
      </c>
      <c r="P24" s="22"/>
      <c r="Q24" s="23"/>
      <c r="R24" s="23"/>
      <c r="S24" s="23"/>
      <c r="T24" s="24"/>
      <c r="U24" s="24">
        <v>0</v>
      </c>
      <c r="V24" s="21">
        <f t="shared" si="2"/>
        <v>1447.35</v>
      </c>
      <c r="W24" s="25">
        <f t="shared" si="3"/>
        <v>0</v>
      </c>
      <c r="X24" s="21">
        <f t="shared" si="4"/>
        <v>1447.35</v>
      </c>
      <c r="Y24" s="26">
        <f t="shared" si="5"/>
        <v>144.73499999999999</v>
      </c>
      <c r="Z24" s="25">
        <v>0</v>
      </c>
      <c r="AA24" s="21">
        <f t="shared" si="7"/>
        <v>1592.0849999999998</v>
      </c>
      <c r="AB24" s="56">
        <v>0</v>
      </c>
      <c r="AC24" s="56">
        <v>0</v>
      </c>
      <c r="AD24" s="57">
        <f t="shared" si="8"/>
        <v>-1447.35</v>
      </c>
      <c r="AE24" s="30" t="s">
        <v>268</v>
      </c>
      <c r="AF24" s="33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</row>
    <row r="25" spans="1:44" x14ac:dyDescent="0.25">
      <c r="A25" s="17" t="s">
        <v>192</v>
      </c>
      <c r="B25" s="17" t="s">
        <v>125</v>
      </c>
      <c r="C25" s="18">
        <v>3</v>
      </c>
      <c r="D25" s="17" t="s">
        <v>217</v>
      </c>
      <c r="E25" s="17" t="s">
        <v>218</v>
      </c>
      <c r="F25" s="17"/>
      <c r="G25" s="19">
        <v>1237.2399999999998</v>
      </c>
      <c r="H25" s="17">
        <v>21262.76</v>
      </c>
      <c r="I25" s="19">
        <f t="shared" si="0"/>
        <v>22500</v>
      </c>
      <c r="J25" s="19"/>
      <c r="K25" s="19">
        <v>0</v>
      </c>
      <c r="L25" s="19"/>
      <c r="M25" s="19"/>
      <c r="N25" s="20">
        <v>45.15</v>
      </c>
      <c r="O25" s="21">
        <f t="shared" si="1"/>
        <v>22454.85</v>
      </c>
      <c r="P25" s="22"/>
      <c r="Q25" s="23"/>
      <c r="R25" s="23"/>
      <c r="S25" s="23"/>
      <c r="T25" s="24">
        <v>479.28</v>
      </c>
      <c r="U25" s="24">
        <v>323.91000000000003</v>
      </c>
      <c r="V25" s="21">
        <f t="shared" si="2"/>
        <v>21651.66</v>
      </c>
      <c r="W25" s="25">
        <f t="shared" si="3"/>
        <v>2245.4850000000001</v>
      </c>
      <c r="X25" s="21">
        <f t="shared" si="4"/>
        <v>19406.174999999999</v>
      </c>
      <c r="Y25" s="26">
        <f t="shared" si="5"/>
        <v>0</v>
      </c>
      <c r="Z25" s="25">
        <f t="shared" si="6"/>
        <v>24.744799999999998</v>
      </c>
      <c r="AA25" s="21">
        <f t="shared" si="7"/>
        <v>22479.594799999999</v>
      </c>
      <c r="AB25" s="56">
        <v>1237.2</v>
      </c>
      <c r="AC25" s="56">
        <v>15874.12</v>
      </c>
      <c r="AD25" s="58">
        <f t="shared" si="8"/>
        <v>-2294.8549999999996</v>
      </c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</row>
    <row r="26" spans="1:44" s="28" customFormat="1" x14ac:dyDescent="0.25">
      <c r="A26" s="17" t="s">
        <v>200</v>
      </c>
      <c r="B26" s="17" t="s">
        <v>143</v>
      </c>
      <c r="C26" s="17" t="s">
        <v>142</v>
      </c>
      <c r="D26" s="17" t="s">
        <v>219</v>
      </c>
      <c r="E26" s="17"/>
      <c r="F26" s="17"/>
      <c r="G26" s="19">
        <v>1237.2399999999998</v>
      </c>
      <c r="H26" s="17">
        <v>1262.7600000000002</v>
      </c>
      <c r="I26" s="19">
        <f t="shared" si="0"/>
        <v>2500</v>
      </c>
      <c r="J26" s="19">
        <v>1000</v>
      </c>
      <c r="K26" s="19">
        <v>160.38</v>
      </c>
      <c r="L26" s="19"/>
      <c r="M26" s="19"/>
      <c r="N26" s="20">
        <v>45.15</v>
      </c>
      <c r="O26" s="21">
        <f t="shared" si="1"/>
        <v>3615.23</v>
      </c>
      <c r="P26" s="22"/>
      <c r="Q26" s="23"/>
      <c r="R26" s="23"/>
      <c r="S26" s="23"/>
      <c r="T26" s="24"/>
      <c r="U26" s="24">
        <v>0</v>
      </c>
      <c r="V26" s="21">
        <f t="shared" si="2"/>
        <v>3615.23</v>
      </c>
      <c r="W26" s="25">
        <f t="shared" si="3"/>
        <v>0</v>
      </c>
      <c r="X26" s="21">
        <f t="shared" si="4"/>
        <v>3615.23</v>
      </c>
      <c r="Y26" s="26">
        <f t="shared" si="5"/>
        <v>361.52300000000002</v>
      </c>
      <c r="Z26" s="25">
        <f t="shared" si="6"/>
        <v>24.744799999999998</v>
      </c>
      <c r="AA26" s="21">
        <f t="shared" si="7"/>
        <v>4001.4978000000001</v>
      </c>
      <c r="AB26" s="56">
        <v>1237.2</v>
      </c>
      <c r="AC26" s="56">
        <v>1423.18</v>
      </c>
      <c r="AD26" s="57">
        <f t="shared" si="8"/>
        <v>-954.84999999999991</v>
      </c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</row>
    <row r="27" spans="1:44" x14ac:dyDescent="0.25">
      <c r="A27" s="17" t="s">
        <v>192</v>
      </c>
      <c r="B27" s="17" t="s">
        <v>220</v>
      </c>
      <c r="C27" s="18" t="s">
        <v>52</v>
      </c>
      <c r="D27" s="17" t="s">
        <v>221</v>
      </c>
      <c r="E27" s="17"/>
      <c r="F27" s="17"/>
      <c r="G27" s="19">
        <v>1237.2399999999998</v>
      </c>
      <c r="H27" s="17">
        <v>762.76</v>
      </c>
      <c r="I27" s="19">
        <f t="shared" si="0"/>
        <v>1999.9999999999998</v>
      </c>
      <c r="J27" s="19">
        <v>2000</v>
      </c>
      <c r="K27" s="19">
        <v>188.73</v>
      </c>
      <c r="L27" s="32"/>
      <c r="M27" s="32"/>
      <c r="N27" s="20">
        <v>45.15</v>
      </c>
      <c r="O27" s="21">
        <f t="shared" si="1"/>
        <v>4143.58</v>
      </c>
      <c r="P27" s="22"/>
      <c r="Q27" s="23"/>
      <c r="R27" s="23"/>
      <c r="S27" s="23"/>
      <c r="T27" s="24"/>
      <c r="U27" s="24">
        <v>0</v>
      </c>
      <c r="V27" s="21">
        <f t="shared" si="2"/>
        <v>4143.58</v>
      </c>
      <c r="W27" s="25">
        <f t="shared" si="3"/>
        <v>0</v>
      </c>
      <c r="X27" s="21">
        <f t="shared" si="4"/>
        <v>4143.58</v>
      </c>
      <c r="Y27" s="26">
        <f t="shared" si="5"/>
        <v>414.358</v>
      </c>
      <c r="Z27" s="25">
        <f t="shared" si="6"/>
        <v>24.744799999999998</v>
      </c>
      <c r="AA27" s="21">
        <f t="shared" si="7"/>
        <v>4582.6828000000005</v>
      </c>
      <c r="AB27" s="56">
        <v>1237.2</v>
      </c>
      <c r="AC27" s="56">
        <v>951.53</v>
      </c>
      <c r="AD27" s="57">
        <f t="shared" si="8"/>
        <v>-1954.85</v>
      </c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</row>
    <row r="28" spans="1:44" s="35" customFormat="1" x14ac:dyDescent="0.25">
      <c r="A28" s="17" t="s">
        <v>190</v>
      </c>
      <c r="B28" s="17" t="s">
        <v>222</v>
      </c>
      <c r="C28" s="18" t="s">
        <v>54</v>
      </c>
      <c r="D28" s="17" t="s">
        <v>122</v>
      </c>
      <c r="E28" s="17"/>
      <c r="F28" s="17"/>
      <c r="G28" s="19">
        <v>1237.2399999999998</v>
      </c>
      <c r="H28" s="17">
        <v>-37.239999999999782</v>
      </c>
      <c r="I28" s="19">
        <f t="shared" si="0"/>
        <v>1200</v>
      </c>
      <c r="J28" s="19">
        <v>3974</v>
      </c>
      <c r="K28" s="19">
        <v>125.12</v>
      </c>
      <c r="L28" s="19"/>
      <c r="M28" s="19"/>
      <c r="N28" s="20">
        <v>45.15</v>
      </c>
      <c r="O28" s="21">
        <f t="shared" si="1"/>
        <v>5253.97</v>
      </c>
      <c r="P28" s="22"/>
      <c r="Q28" s="23"/>
      <c r="R28" s="23"/>
      <c r="S28" s="23"/>
      <c r="T28" s="24"/>
      <c r="U28" s="24">
        <v>0</v>
      </c>
      <c r="V28" s="21">
        <f t="shared" si="2"/>
        <v>5253.97</v>
      </c>
      <c r="W28" s="25">
        <f t="shared" si="3"/>
        <v>525.39700000000005</v>
      </c>
      <c r="X28" s="21">
        <f t="shared" si="4"/>
        <v>4728.5730000000003</v>
      </c>
      <c r="Y28" s="26">
        <f t="shared" si="5"/>
        <v>0</v>
      </c>
      <c r="Z28" s="25">
        <f t="shared" si="6"/>
        <v>24.744799999999998</v>
      </c>
      <c r="AA28" s="21">
        <f t="shared" si="7"/>
        <v>5278.7148000000007</v>
      </c>
      <c r="AB28" s="59">
        <v>1237.2</v>
      </c>
      <c r="AC28" s="59">
        <v>2033.92</v>
      </c>
      <c r="AD28" s="58">
        <f t="shared" si="8"/>
        <v>-1457.4530000000004</v>
      </c>
      <c r="AE28" s="27"/>
      <c r="AF28" s="27"/>
      <c r="AG28" s="27"/>
      <c r="AH28" s="27"/>
    </row>
    <row r="29" spans="1:44" x14ac:dyDescent="0.25">
      <c r="A29" s="17" t="s">
        <v>192</v>
      </c>
      <c r="B29" s="17" t="s">
        <v>223</v>
      </c>
      <c r="C29" s="18" t="s">
        <v>160</v>
      </c>
      <c r="D29" s="17" t="s">
        <v>221</v>
      </c>
      <c r="E29" s="17"/>
      <c r="F29" s="17"/>
      <c r="G29" s="19">
        <v>1237.24</v>
      </c>
      <c r="H29" s="17">
        <v>762.76</v>
      </c>
      <c r="I29" s="19">
        <f t="shared" si="0"/>
        <v>2000</v>
      </c>
      <c r="J29" s="19">
        <v>2000</v>
      </c>
      <c r="K29" s="19">
        <v>188.73</v>
      </c>
      <c r="L29" s="19"/>
      <c r="M29" s="19"/>
      <c r="N29" s="20">
        <v>45.15</v>
      </c>
      <c r="O29" s="21">
        <f t="shared" si="1"/>
        <v>4143.58</v>
      </c>
      <c r="P29" s="22"/>
      <c r="Q29" s="23"/>
      <c r="R29" s="23"/>
      <c r="S29" s="23"/>
      <c r="T29" s="24"/>
      <c r="U29" s="24">
        <v>0</v>
      </c>
      <c r="V29" s="21">
        <f t="shared" si="2"/>
        <v>4143.58</v>
      </c>
      <c r="W29" s="25">
        <f t="shared" si="3"/>
        <v>0</v>
      </c>
      <c r="X29" s="21">
        <f t="shared" si="4"/>
        <v>4143.58</v>
      </c>
      <c r="Y29" s="26">
        <f t="shared" si="5"/>
        <v>414.358</v>
      </c>
      <c r="Z29" s="25">
        <f t="shared" si="6"/>
        <v>24.744800000000001</v>
      </c>
      <c r="AA29" s="21">
        <f t="shared" si="7"/>
        <v>4582.6828000000005</v>
      </c>
      <c r="AB29" s="56">
        <v>1237.2</v>
      </c>
      <c r="AC29" s="56">
        <v>951.53</v>
      </c>
      <c r="AD29" s="57">
        <f t="shared" si="8"/>
        <v>-1954.85</v>
      </c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</row>
    <row r="30" spans="1:44" x14ac:dyDescent="0.25">
      <c r="A30" s="17" t="s">
        <v>192</v>
      </c>
      <c r="B30" s="17" t="s">
        <v>130</v>
      </c>
      <c r="C30" s="18" t="s">
        <v>56</v>
      </c>
      <c r="D30" s="17" t="s">
        <v>224</v>
      </c>
      <c r="E30" s="17" t="s">
        <v>194</v>
      </c>
      <c r="F30" s="17"/>
      <c r="G30" s="19">
        <v>1237.2399999999998</v>
      </c>
      <c r="H30" s="17">
        <v>1012.7600000000002</v>
      </c>
      <c r="I30" s="19">
        <f t="shared" si="0"/>
        <v>2250</v>
      </c>
      <c r="J30" s="19">
        <v>2000</v>
      </c>
      <c r="K30" s="19">
        <v>174.78</v>
      </c>
      <c r="L30" s="19"/>
      <c r="M30" s="19"/>
      <c r="N30" s="20">
        <v>45.15</v>
      </c>
      <c r="O30" s="21">
        <f t="shared" si="1"/>
        <v>4379.63</v>
      </c>
      <c r="P30" s="22"/>
      <c r="Q30" s="23"/>
      <c r="R30" s="23"/>
      <c r="S30" s="23"/>
      <c r="T30" s="24"/>
      <c r="U30" s="24">
        <v>0</v>
      </c>
      <c r="V30" s="21">
        <f t="shared" si="2"/>
        <v>4379.63</v>
      </c>
      <c r="W30" s="25">
        <f t="shared" si="3"/>
        <v>0</v>
      </c>
      <c r="X30" s="21">
        <f t="shared" si="4"/>
        <v>4379.63</v>
      </c>
      <c r="Y30" s="26">
        <f t="shared" si="5"/>
        <v>437.96300000000002</v>
      </c>
      <c r="Z30" s="25">
        <f t="shared" si="6"/>
        <v>24.744799999999998</v>
      </c>
      <c r="AA30" s="21">
        <f t="shared" si="7"/>
        <v>4842.3378000000002</v>
      </c>
      <c r="AB30" s="56">
        <v>1237.2</v>
      </c>
      <c r="AC30" s="56">
        <v>1187.58</v>
      </c>
      <c r="AD30" s="57">
        <f t="shared" si="8"/>
        <v>-1954.8500000000004</v>
      </c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</row>
    <row r="31" spans="1:44" s="28" customFormat="1" x14ac:dyDescent="0.25">
      <c r="A31" s="45" t="s">
        <v>225</v>
      </c>
      <c r="B31" s="45" t="s">
        <v>226</v>
      </c>
      <c r="C31" s="46" t="s">
        <v>58</v>
      </c>
      <c r="D31" s="45" t="s">
        <v>227</v>
      </c>
      <c r="E31" s="45"/>
      <c r="F31" s="45"/>
      <c r="G31" s="47">
        <v>1237.2399999999998</v>
      </c>
      <c r="H31" s="45">
        <v>762.76000000000022</v>
      </c>
      <c r="I31" s="47">
        <f t="shared" si="0"/>
        <v>2000</v>
      </c>
      <c r="J31" s="47">
        <v>1505</v>
      </c>
      <c r="K31" s="47">
        <v>188.73</v>
      </c>
      <c r="L31" s="47"/>
      <c r="M31" s="47"/>
      <c r="N31" s="20">
        <v>45.15</v>
      </c>
      <c r="O31" s="21">
        <f t="shared" si="1"/>
        <v>3648.58</v>
      </c>
      <c r="P31" s="22"/>
      <c r="Q31" s="23"/>
      <c r="R31" s="23"/>
      <c r="S31" s="23"/>
      <c r="T31" s="60"/>
      <c r="U31" s="60">
        <v>0</v>
      </c>
      <c r="V31" s="21">
        <f t="shared" si="2"/>
        <v>3648.58</v>
      </c>
      <c r="W31" s="25">
        <f t="shared" si="3"/>
        <v>0</v>
      </c>
      <c r="X31" s="21">
        <f t="shared" si="4"/>
        <v>3648.58</v>
      </c>
      <c r="Y31" s="26">
        <f t="shared" si="5"/>
        <v>364.858</v>
      </c>
      <c r="Z31" s="25">
        <f t="shared" si="6"/>
        <v>24.744799999999998</v>
      </c>
      <c r="AA31" s="21">
        <f t="shared" si="7"/>
        <v>4038.1828</v>
      </c>
      <c r="AB31" s="56">
        <v>1237.2</v>
      </c>
      <c r="AC31" s="56">
        <v>2191.5300000000002</v>
      </c>
      <c r="AD31" s="57">
        <f t="shared" si="8"/>
        <v>-219.84999999999945</v>
      </c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</row>
    <row r="32" spans="1:44" s="28" customFormat="1" x14ac:dyDescent="0.25">
      <c r="A32" s="17" t="s">
        <v>190</v>
      </c>
      <c r="B32" s="17" t="s">
        <v>228</v>
      </c>
      <c r="C32" s="18" t="s">
        <v>60</v>
      </c>
      <c r="D32" s="17" t="s">
        <v>121</v>
      </c>
      <c r="E32" s="17"/>
      <c r="F32" s="17"/>
      <c r="G32" s="19">
        <v>1200</v>
      </c>
      <c r="H32" s="17"/>
      <c r="I32" s="19">
        <f t="shared" si="0"/>
        <v>1200</v>
      </c>
      <c r="J32" s="19">
        <v>1250.5999999999999</v>
      </c>
      <c r="K32" s="19">
        <v>125.12</v>
      </c>
      <c r="L32" s="19"/>
      <c r="M32" s="19"/>
      <c r="N32" s="20">
        <v>45.15</v>
      </c>
      <c r="O32" s="21">
        <f t="shared" si="1"/>
        <v>2530.5699999999997</v>
      </c>
      <c r="P32" s="22"/>
      <c r="Q32" s="23"/>
      <c r="R32" s="23"/>
      <c r="S32" s="23"/>
      <c r="T32" s="24"/>
      <c r="U32" s="24">
        <v>0</v>
      </c>
      <c r="V32" s="21">
        <f t="shared" si="2"/>
        <v>2530.5699999999997</v>
      </c>
      <c r="W32" s="25">
        <f t="shared" si="3"/>
        <v>0</v>
      </c>
      <c r="X32" s="21">
        <f t="shared" si="4"/>
        <v>2530.5699999999997</v>
      </c>
      <c r="Y32" s="26">
        <f t="shared" si="5"/>
        <v>253.05699999999999</v>
      </c>
      <c r="Z32" s="25">
        <f t="shared" si="6"/>
        <v>24</v>
      </c>
      <c r="AA32" s="21">
        <f t="shared" si="7"/>
        <v>2807.6269999999995</v>
      </c>
      <c r="AB32" s="56">
        <v>1237.2</v>
      </c>
      <c r="AC32" s="56">
        <v>2049.25</v>
      </c>
      <c r="AD32" s="58">
        <f t="shared" si="8"/>
        <v>755.88000000000011</v>
      </c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</row>
    <row r="33" spans="1:44" s="28" customFormat="1" x14ac:dyDescent="0.25">
      <c r="A33" s="17" t="s">
        <v>192</v>
      </c>
      <c r="B33" s="17" t="s">
        <v>129</v>
      </c>
      <c r="C33" s="18" t="s">
        <v>62</v>
      </c>
      <c r="D33" s="17" t="s">
        <v>229</v>
      </c>
      <c r="E33" s="17"/>
      <c r="F33" s="17"/>
      <c r="G33" s="19">
        <v>1237.2399999999998</v>
      </c>
      <c r="H33" s="17">
        <v>762.76000000000022</v>
      </c>
      <c r="I33" s="19">
        <f t="shared" si="0"/>
        <v>2000</v>
      </c>
      <c r="J33" s="19">
        <v>2000</v>
      </c>
      <c r="K33" s="19">
        <v>188.73</v>
      </c>
      <c r="L33" s="32"/>
      <c r="M33" s="32"/>
      <c r="N33" s="20">
        <v>45.15</v>
      </c>
      <c r="O33" s="21">
        <f t="shared" si="1"/>
        <v>4143.58</v>
      </c>
      <c r="P33" s="22"/>
      <c r="Q33" s="23"/>
      <c r="R33" s="23"/>
      <c r="S33" s="23"/>
      <c r="T33" s="24"/>
      <c r="U33" s="24">
        <v>313.89999999999998</v>
      </c>
      <c r="V33" s="21">
        <f t="shared" si="2"/>
        <v>3829.68</v>
      </c>
      <c r="W33" s="25">
        <f t="shared" si="3"/>
        <v>0</v>
      </c>
      <c r="X33" s="21">
        <f t="shared" si="4"/>
        <v>3829.68</v>
      </c>
      <c r="Y33" s="26">
        <f t="shared" si="5"/>
        <v>414.358</v>
      </c>
      <c r="Z33" s="25">
        <f t="shared" si="6"/>
        <v>24.744799999999998</v>
      </c>
      <c r="AA33" s="21">
        <f t="shared" si="7"/>
        <v>4582.6828000000005</v>
      </c>
      <c r="AB33" s="56">
        <v>1237.2</v>
      </c>
      <c r="AC33" s="56">
        <v>637.63</v>
      </c>
      <c r="AD33" s="57">
        <f>+AB33+AC33-X33</f>
        <v>-1954.85</v>
      </c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</row>
    <row r="34" spans="1:44" s="28" customFormat="1" x14ac:dyDescent="0.25">
      <c r="A34" s="17" t="s">
        <v>190</v>
      </c>
      <c r="B34" s="17" t="s">
        <v>295</v>
      </c>
      <c r="C34" s="18" t="s">
        <v>64</v>
      </c>
      <c r="D34" s="17" t="s">
        <v>122</v>
      </c>
      <c r="E34" s="17"/>
      <c r="F34" s="17"/>
      <c r="G34" s="19">
        <v>1237.2399999999998</v>
      </c>
      <c r="H34" s="17">
        <v>-37.239999999999782</v>
      </c>
      <c r="I34" s="19">
        <f t="shared" si="0"/>
        <v>1200</v>
      </c>
      <c r="J34" s="19">
        <v>1731.73</v>
      </c>
      <c r="K34" s="19">
        <v>125.12</v>
      </c>
      <c r="L34" s="19"/>
      <c r="M34" s="19"/>
      <c r="N34" s="20">
        <v>45.15</v>
      </c>
      <c r="O34" s="21">
        <f t="shared" si="1"/>
        <v>3011.7</v>
      </c>
      <c r="P34" s="22"/>
      <c r="Q34" s="23"/>
      <c r="R34" s="23"/>
      <c r="S34" s="23"/>
      <c r="T34" s="24"/>
      <c r="U34" s="24">
        <v>215.92</v>
      </c>
      <c r="V34" s="21">
        <f t="shared" si="2"/>
        <v>2795.7799999999997</v>
      </c>
      <c r="W34" s="25">
        <f t="shared" si="3"/>
        <v>0</v>
      </c>
      <c r="X34" s="21">
        <f t="shared" si="4"/>
        <v>2795.7799999999997</v>
      </c>
      <c r="Y34" s="26">
        <f t="shared" si="5"/>
        <v>301.17</v>
      </c>
      <c r="Z34" s="25">
        <f t="shared" si="6"/>
        <v>24.744799999999998</v>
      </c>
      <c r="AA34" s="21">
        <f t="shared" si="7"/>
        <v>3337.6147999999998</v>
      </c>
      <c r="AB34" s="56">
        <v>1237.2</v>
      </c>
      <c r="AC34" s="56">
        <v>1737.97</v>
      </c>
      <c r="AD34" s="58">
        <f t="shared" si="8"/>
        <v>179.39000000000033</v>
      </c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</row>
    <row r="35" spans="1:44" x14ac:dyDescent="0.25">
      <c r="A35" s="17" t="s">
        <v>192</v>
      </c>
      <c r="B35" s="17" t="s">
        <v>296</v>
      </c>
      <c r="C35" s="18">
        <v>56</v>
      </c>
      <c r="D35" s="17" t="s">
        <v>230</v>
      </c>
      <c r="E35" s="17"/>
      <c r="F35" s="17"/>
      <c r="G35" s="19">
        <v>1237.2399999999998</v>
      </c>
      <c r="H35" s="17">
        <v>512.76000000000022</v>
      </c>
      <c r="I35" s="19">
        <f t="shared" si="0"/>
        <v>1750</v>
      </c>
      <c r="J35" s="19">
        <v>13289.98</v>
      </c>
      <c r="K35" s="19">
        <v>188.73</v>
      </c>
      <c r="L35" s="19"/>
      <c r="M35" s="19"/>
      <c r="N35" s="20">
        <v>45.15</v>
      </c>
      <c r="O35" s="21">
        <f t="shared" si="1"/>
        <v>15183.56</v>
      </c>
      <c r="P35" s="22"/>
      <c r="Q35" s="23"/>
      <c r="R35" s="23"/>
      <c r="S35" s="23"/>
      <c r="T35" s="24"/>
      <c r="U35" s="24">
        <v>0</v>
      </c>
      <c r="V35" s="21">
        <f t="shared" si="2"/>
        <v>15183.56</v>
      </c>
      <c r="W35" s="25">
        <f t="shared" si="3"/>
        <v>1518.356</v>
      </c>
      <c r="X35" s="21">
        <f t="shared" si="4"/>
        <v>13665.204</v>
      </c>
      <c r="Y35" s="26">
        <f t="shared" si="5"/>
        <v>0</v>
      </c>
      <c r="Z35" s="25">
        <f t="shared" si="6"/>
        <v>24.744799999999998</v>
      </c>
      <c r="AA35" s="21">
        <f t="shared" si="7"/>
        <v>15208.3048</v>
      </c>
      <c r="AB35" s="56">
        <v>1237.2</v>
      </c>
      <c r="AC35" s="56">
        <v>701.53</v>
      </c>
      <c r="AD35" s="57">
        <f t="shared" si="8"/>
        <v>-11726.474</v>
      </c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</row>
    <row r="36" spans="1:44" x14ac:dyDescent="0.25">
      <c r="A36" s="17" t="s">
        <v>192</v>
      </c>
      <c r="B36" s="17" t="s">
        <v>131</v>
      </c>
      <c r="C36" s="18" t="s">
        <v>68</v>
      </c>
      <c r="D36" s="17" t="s">
        <v>231</v>
      </c>
      <c r="E36" s="17" t="s">
        <v>194</v>
      </c>
      <c r="F36" s="17"/>
      <c r="G36" s="19">
        <v>1237.2399999999998</v>
      </c>
      <c r="H36" s="17">
        <v>1512.7600000000002</v>
      </c>
      <c r="I36" s="19">
        <f t="shared" si="0"/>
        <v>2750</v>
      </c>
      <c r="J36" s="19">
        <v>3500</v>
      </c>
      <c r="K36" s="19">
        <v>145.37</v>
      </c>
      <c r="L36" s="19"/>
      <c r="M36" s="19"/>
      <c r="N36" s="20">
        <v>45.15</v>
      </c>
      <c r="O36" s="21">
        <f t="shared" si="1"/>
        <v>6350.22</v>
      </c>
      <c r="P36" s="22">
        <v>183.33</v>
      </c>
      <c r="Q36" s="23"/>
      <c r="R36" s="23"/>
      <c r="S36" s="23"/>
      <c r="T36" s="24"/>
      <c r="U36" s="24">
        <v>0</v>
      </c>
      <c r="V36" s="21">
        <f t="shared" si="2"/>
        <v>6166.89</v>
      </c>
      <c r="W36" s="25">
        <f t="shared" si="3"/>
        <v>635.02200000000005</v>
      </c>
      <c r="X36" s="21">
        <f t="shared" si="4"/>
        <v>5531.8680000000004</v>
      </c>
      <c r="Y36" s="26">
        <f t="shared" si="5"/>
        <v>0</v>
      </c>
      <c r="Z36" s="25">
        <f t="shared" si="6"/>
        <v>24.744799999999998</v>
      </c>
      <c r="AA36" s="21">
        <f t="shared" si="7"/>
        <v>6374.9648000000007</v>
      </c>
      <c r="AB36" s="56">
        <v>1237.2</v>
      </c>
      <c r="AC36" s="56">
        <v>1474.84</v>
      </c>
      <c r="AD36" s="57">
        <f>+AB36+AC36-X36</f>
        <v>-2819.8280000000004</v>
      </c>
      <c r="AE36" s="49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</row>
    <row r="37" spans="1:44" s="28" customFormat="1" x14ac:dyDescent="0.25">
      <c r="A37" s="45" t="s">
        <v>190</v>
      </c>
      <c r="B37" s="45" t="s">
        <v>232</v>
      </c>
      <c r="C37" s="46">
        <v>12</v>
      </c>
      <c r="D37" s="45" t="s">
        <v>227</v>
      </c>
      <c r="E37" s="45"/>
      <c r="F37" s="45"/>
      <c r="G37" s="47">
        <v>1237.2399999999998</v>
      </c>
      <c r="H37" s="45">
        <v>762.76000000000022</v>
      </c>
      <c r="I37" s="47">
        <f t="shared" si="0"/>
        <v>2000</v>
      </c>
      <c r="J37" s="47">
        <v>2735</v>
      </c>
      <c r="K37" s="61">
        <v>188.73</v>
      </c>
      <c r="L37" s="27"/>
      <c r="M37" s="47"/>
      <c r="N37" s="20">
        <v>45.15</v>
      </c>
      <c r="O37" s="21">
        <f>SUM(I37:M37)-N37</f>
        <v>4878.58</v>
      </c>
      <c r="P37" s="22"/>
      <c r="Q37" s="23"/>
      <c r="R37" s="23"/>
      <c r="S37" s="23"/>
      <c r="T37" s="60"/>
      <c r="U37" s="60">
        <v>0</v>
      </c>
      <c r="V37" s="21">
        <f t="shared" si="2"/>
        <v>4878.58</v>
      </c>
      <c r="W37" s="25">
        <f t="shared" si="3"/>
        <v>487.858</v>
      </c>
      <c r="X37" s="21">
        <f t="shared" si="4"/>
        <v>4390.7219999999998</v>
      </c>
      <c r="Y37" s="26">
        <f t="shared" si="5"/>
        <v>0</v>
      </c>
      <c r="Z37" s="25">
        <f t="shared" si="6"/>
        <v>24.744799999999998</v>
      </c>
      <c r="AA37" s="21">
        <f t="shared" si="7"/>
        <v>4903.3248000000003</v>
      </c>
      <c r="AB37" s="56">
        <v>1237.2</v>
      </c>
      <c r="AC37" s="56">
        <v>2571.5300000000002</v>
      </c>
      <c r="AD37" s="57">
        <f t="shared" si="8"/>
        <v>-581.99199999999928</v>
      </c>
      <c r="AE37" s="36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</row>
    <row r="38" spans="1:44" x14ac:dyDescent="0.25">
      <c r="A38" s="17" t="s">
        <v>233</v>
      </c>
      <c r="B38" s="17" t="s">
        <v>234</v>
      </c>
      <c r="C38" s="17">
        <v>23</v>
      </c>
      <c r="D38" s="17" t="s">
        <v>235</v>
      </c>
      <c r="E38" s="31"/>
      <c r="F38" s="31"/>
      <c r="G38" s="19">
        <v>1237.2399999999998</v>
      </c>
      <c r="H38" s="31">
        <v>2262.7600000000002</v>
      </c>
      <c r="I38" s="19">
        <f t="shared" si="0"/>
        <v>3500</v>
      </c>
      <c r="J38" s="19">
        <v>25114.12</v>
      </c>
      <c r="K38" s="19">
        <v>125.12</v>
      </c>
      <c r="L38" s="32"/>
      <c r="M38" s="32"/>
      <c r="N38" s="20">
        <v>45.15</v>
      </c>
      <c r="O38" s="21">
        <f t="shared" si="1"/>
        <v>28694.089999999997</v>
      </c>
      <c r="P38" s="22"/>
      <c r="Q38" s="23"/>
      <c r="R38" s="23"/>
      <c r="S38" s="23"/>
      <c r="T38" s="24"/>
      <c r="U38" s="24">
        <v>357.22</v>
      </c>
      <c r="V38" s="21">
        <f t="shared" si="2"/>
        <v>28336.869999999995</v>
      </c>
      <c r="W38" s="25">
        <f t="shared" si="3"/>
        <v>2869.4089999999997</v>
      </c>
      <c r="X38" s="21">
        <f t="shared" si="4"/>
        <v>25467.460999999996</v>
      </c>
      <c r="Y38" s="26">
        <f t="shared" si="5"/>
        <v>0</v>
      </c>
      <c r="Z38" s="25">
        <f t="shared" si="6"/>
        <v>24.744799999999998</v>
      </c>
      <c r="AA38" s="21">
        <f t="shared" si="7"/>
        <v>28718.834799999997</v>
      </c>
      <c r="AB38" s="56">
        <v>1237.2</v>
      </c>
      <c r="AC38" s="56">
        <v>2030.7</v>
      </c>
      <c r="AD38" s="57">
        <f t="shared" si="8"/>
        <v>-22199.560999999994</v>
      </c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</row>
    <row r="39" spans="1:44" x14ac:dyDescent="0.25">
      <c r="A39" s="37" t="s">
        <v>236</v>
      </c>
      <c r="B39" s="17" t="s">
        <v>237</v>
      </c>
      <c r="C39" s="31" t="s">
        <v>155</v>
      </c>
      <c r="D39" s="17" t="s">
        <v>198</v>
      </c>
      <c r="E39" s="17"/>
      <c r="F39" s="17"/>
      <c r="G39" s="19">
        <v>1237.2399999999998</v>
      </c>
      <c r="H39" s="31">
        <f>3762.76+550</f>
        <v>4312.76</v>
      </c>
      <c r="I39" s="19">
        <f t="shared" si="0"/>
        <v>5550</v>
      </c>
      <c r="J39" s="19"/>
      <c r="K39" s="19">
        <v>0</v>
      </c>
      <c r="L39" s="19"/>
      <c r="M39" s="19"/>
      <c r="N39" s="20">
        <v>45.15</v>
      </c>
      <c r="O39" s="21">
        <f t="shared" si="1"/>
        <v>5504.85</v>
      </c>
      <c r="P39" s="22"/>
      <c r="Q39" s="23"/>
      <c r="R39" s="23"/>
      <c r="S39" s="23"/>
      <c r="T39" s="24"/>
      <c r="U39" s="24">
        <v>0</v>
      </c>
      <c r="V39" s="21">
        <f t="shared" si="2"/>
        <v>5504.85</v>
      </c>
      <c r="W39" s="25">
        <f t="shared" si="3"/>
        <v>550.48500000000001</v>
      </c>
      <c r="X39" s="21">
        <f t="shared" si="4"/>
        <v>4954.3650000000007</v>
      </c>
      <c r="Y39" s="26">
        <f t="shared" si="5"/>
        <v>0</v>
      </c>
      <c r="Z39" s="25">
        <f t="shared" si="6"/>
        <v>24.744799999999998</v>
      </c>
      <c r="AA39" s="21">
        <f t="shared" si="7"/>
        <v>5529.5948000000008</v>
      </c>
      <c r="AB39" s="56">
        <v>1237.2</v>
      </c>
      <c r="AC39" s="56">
        <v>3712.8</v>
      </c>
      <c r="AD39" s="58">
        <f t="shared" si="8"/>
        <v>-4.3650000000006912</v>
      </c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</row>
    <row r="40" spans="1:44" x14ac:dyDescent="0.25">
      <c r="A40" s="17" t="s">
        <v>190</v>
      </c>
      <c r="B40" s="17" t="s">
        <v>238</v>
      </c>
      <c r="C40" s="18" t="s">
        <v>74</v>
      </c>
      <c r="D40" s="17" t="s">
        <v>239</v>
      </c>
      <c r="E40" s="17"/>
      <c r="F40" s="17"/>
      <c r="G40" s="19">
        <v>1237.2399999999998</v>
      </c>
      <c r="H40" s="17">
        <v>512.76000000000022</v>
      </c>
      <c r="I40" s="19">
        <f t="shared" si="0"/>
        <v>1750</v>
      </c>
      <c r="J40" s="19">
        <v>2637.8</v>
      </c>
      <c r="K40" s="19">
        <v>0</v>
      </c>
      <c r="L40" s="19"/>
      <c r="M40" s="19"/>
      <c r="N40" s="20">
        <v>45.15</v>
      </c>
      <c r="O40" s="21">
        <f t="shared" si="1"/>
        <v>4342.6500000000005</v>
      </c>
      <c r="P40" s="22"/>
      <c r="Q40" s="23"/>
      <c r="R40" s="23"/>
      <c r="S40" s="23"/>
      <c r="T40" s="24"/>
      <c r="U40" s="24">
        <v>0</v>
      </c>
      <c r="V40" s="21">
        <f t="shared" si="2"/>
        <v>4342.6500000000005</v>
      </c>
      <c r="W40" s="25">
        <f t="shared" si="3"/>
        <v>0</v>
      </c>
      <c r="X40" s="21">
        <f t="shared" si="4"/>
        <v>4342.6500000000005</v>
      </c>
      <c r="Y40" s="26">
        <f t="shared" si="5"/>
        <v>434.2650000000001</v>
      </c>
      <c r="Z40" s="25">
        <f t="shared" si="6"/>
        <v>24.744799999999998</v>
      </c>
      <c r="AA40" s="21">
        <f t="shared" si="7"/>
        <v>4801.6598000000013</v>
      </c>
      <c r="AB40" s="56">
        <v>1237.2</v>
      </c>
      <c r="AC40" s="56">
        <v>2954.63</v>
      </c>
      <c r="AD40" s="57">
        <f t="shared" si="8"/>
        <v>-150.82000000000062</v>
      </c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</row>
    <row r="41" spans="1:44" s="28" customFormat="1" x14ac:dyDescent="0.25">
      <c r="A41" s="17" t="s">
        <v>190</v>
      </c>
      <c r="B41" s="17" t="s">
        <v>240</v>
      </c>
      <c r="C41" s="18" t="s">
        <v>76</v>
      </c>
      <c r="D41" s="17" t="s">
        <v>196</v>
      </c>
      <c r="E41" s="17"/>
      <c r="F41" s="17"/>
      <c r="G41" s="19">
        <v>1000</v>
      </c>
      <c r="H41" s="17"/>
      <c r="I41" s="19">
        <f t="shared" si="0"/>
        <v>1000</v>
      </c>
      <c r="J41" s="19"/>
      <c r="K41" s="19">
        <v>200.73</v>
      </c>
      <c r="L41" s="19"/>
      <c r="M41" s="19"/>
      <c r="N41" s="20">
        <v>45.15</v>
      </c>
      <c r="O41" s="21">
        <f t="shared" si="1"/>
        <v>1155.58</v>
      </c>
      <c r="P41" s="22"/>
      <c r="Q41" s="23"/>
      <c r="R41" s="23"/>
      <c r="S41" s="23"/>
      <c r="T41" s="24"/>
      <c r="U41" s="24">
        <v>0</v>
      </c>
      <c r="V41" s="21">
        <f t="shared" si="2"/>
        <v>1155.58</v>
      </c>
      <c r="W41" s="25">
        <f t="shared" si="3"/>
        <v>0</v>
      </c>
      <c r="X41" s="21">
        <f t="shared" si="4"/>
        <v>1155.58</v>
      </c>
      <c r="Y41" s="26">
        <f t="shared" si="5"/>
        <v>115.55799999999999</v>
      </c>
      <c r="Z41" s="25">
        <f t="shared" si="6"/>
        <v>20</v>
      </c>
      <c r="AA41" s="21">
        <f t="shared" si="7"/>
        <v>1291.1379999999999</v>
      </c>
      <c r="AB41" s="56">
        <v>1062.8</v>
      </c>
      <c r="AC41" s="56">
        <v>1.1100000000000001</v>
      </c>
      <c r="AD41" s="58">
        <f t="shared" si="8"/>
        <v>-91.670000000000073</v>
      </c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</row>
    <row r="42" spans="1:44" s="28" customFormat="1" x14ac:dyDescent="0.25">
      <c r="A42" s="17" t="s">
        <v>241</v>
      </c>
      <c r="B42" s="17" t="s">
        <v>242</v>
      </c>
      <c r="C42" s="18">
        <v>9</v>
      </c>
      <c r="D42" s="17" t="s">
        <v>241</v>
      </c>
      <c r="E42" s="17"/>
      <c r="F42" s="17"/>
      <c r="G42" s="19">
        <v>1237.2399999999998</v>
      </c>
      <c r="H42" s="17">
        <v>2262.7600000000002</v>
      </c>
      <c r="I42" s="19">
        <f t="shared" si="0"/>
        <v>3500</v>
      </c>
      <c r="J42" s="19">
        <v>25445.65</v>
      </c>
      <c r="K42" s="19">
        <v>125.12</v>
      </c>
      <c r="L42" s="19"/>
      <c r="M42" s="19"/>
      <c r="N42" s="20">
        <v>45.15</v>
      </c>
      <c r="O42" s="21">
        <f t="shared" si="1"/>
        <v>29025.62</v>
      </c>
      <c r="P42" s="22"/>
      <c r="Q42" s="23"/>
      <c r="R42" s="23"/>
      <c r="S42" s="23"/>
      <c r="T42" s="24"/>
      <c r="U42" s="24">
        <v>878.82</v>
      </c>
      <c r="V42" s="21">
        <f t="shared" si="2"/>
        <v>28146.799999999999</v>
      </c>
      <c r="W42" s="25">
        <f t="shared" si="3"/>
        <v>2902.5619999999999</v>
      </c>
      <c r="X42" s="21">
        <f t="shared" si="4"/>
        <v>25244.237999999998</v>
      </c>
      <c r="Y42" s="26">
        <f t="shared" si="5"/>
        <v>0</v>
      </c>
      <c r="Z42" s="25">
        <f t="shared" si="6"/>
        <v>24.744799999999998</v>
      </c>
      <c r="AA42" s="21">
        <f t="shared" si="7"/>
        <v>29050.364799999999</v>
      </c>
      <c r="AB42" s="56">
        <v>1237.2</v>
      </c>
      <c r="AC42" s="56">
        <v>1509.1</v>
      </c>
      <c r="AD42" s="57">
        <f t="shared" si="8"/>
        <v>-22497.937999999998</v>
      </c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</row>
    <row r="43" spans="1:44" x14ac:dyDescent="0.25">
      <c r="A43" s="17" t="s">
        <v>200</v>
      </c>
      <c r="B43" s="17" t="s">
        <v>243</v>
      </c>
      <c r="C43" s="17" t="s">
        <v>80</v>
      </c>
      <c r="D43" s="17" t="s">
        <v>244</v>
      </c>
      <c r="E43" s="31"/>
      <c r="F43" s="31"/>
      <c r="G43" s="19">
        <v>1237.2399999999998</v>
      </c>
      <c r="H43" s="31">
        <v>2262.7600000000002</v>
      </c>
      <c r="I43" s="19">
        <f t="shared" si="0"/>
        <v>3500</v>
      </c>
      <c r="J43" s="19">
        <v>51164</v>
      </c>
      <c r="K43" s="19">
        <v>125.12</v>
      </c>
      <c r="L43" s="32"/>
      <c r="M43" s="32"/>
      <c r="N43" s="20">
        <v>45.15</v>
      </c>
      <c r="O43" s="21">
        <f t="shared" si="1"/>
        <v>54743.97</v>
      </c>
      <c r="P43" s="22"/>
      <c r="Q43" s="23"/>
      <c r="R43" s="23"/>
      <c r="S43" s="23"/>
      <c r="T43" s="24"/>
      <c r="U43" s="24"/>
      <c r="V43" s="21">
        <f t="shared" si="2"/>
        <v>54743.97</v>
      </c>
      <c r="W43" s="25">
        <f t="shared" si="3"/>
        <v>5474.3970000000008</v>
      </c>
      <c r="X43" s="21">
        <f t="shared" si="4"/>
        <v>49269.573000000004</v>
      </c>
      <c r="Y43" s="26">
        <f t="shared" si="5"/>
        <v>0</v>
      </c>
      <c r="Z43" s="25">
        <f t="shared" si="6"/>
        <v>24.744799999999998</v>
      </c>
      <c r="AA43" s="21">
        <f t="shared" si="7"/>
        <v>54768.714800000002</v>
      </c>
      <c r="AB43" s="56">
        <v>1237.2</v>
      </c>
      <c r="AC43" s="56">
        <v>2387.92</v>
      </c>
      <c r="AD43" s="57">
        <f t="shared" si="8"/>
        <v>-45644.453000000001</v>
      </c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</row>
    <row r="44" spans="1:44" x14ac:dyDescent="0.25">
      <c r="A44" s="17" t="s">
        <v>225</v>
      </c>
      <c r="B44" s="17" t="s">
        <v>135</v>
      </c>
      <c r="C44" s="18">
        <v>13</v>
      </c>
      <c r="D44" s="17" t="s">
        <v>297</v>
      </c>
      <c r="E44" s="31"/>
      <c r="F44" s="31"/>
      <c r="G44" s="19">
        <v>1237.2399999999998</v>
      </c>
      <c r="H44" s="31">
        <v>3762.76</v>
      </c>
      <c r="I44" s="19">
        <f t="shared" si="0"/>
        <v>5000</v>
      </c>
      <c r="J44" s="19">
        <v>9036.9500000000007</v>
      </c>
      <c r="K44" s="19">
        <v>0</v>
      </c>
      <c r="L44" s="32"/>
      <c r="M44" s="32"/>
      <c r="N44" s="20">
        <v>45.15</v>
      </c>
      <c r="O44" s="21">
        <f t="shared" si="1"/>
        <v>13991.800000000001</v>
      </c>
      <c r="P44" s="22"/>
      <c r="Q44" s="23"/>
      <c r="R44" s="23"/>
      <c r="S44" s="23"/>
      <c r="T44" s="24"/>
      <c r="U44" s="24">
        <v>0</v>
      </c>
      <c r="V44" s="21">
        <f t="shared" si="2"/>
        <v>13991.800000000001</v>
      </c>
      <c r="W44" s="25">
        <f t="shared" si="3"/>
        <v>1399.1800000000003</v>
      </c>
      <c r="X44" s="21">
        <f t="shared" si="4"/>
        <v>12592.62</v>
      </c>
      <c r="Y44" s="26">
        <f t="shared" si="5"/>
        <v>0</v>
      </c>
      <c r="Z44" s="25">
        <f t="shared" si="6"/>
        <v>24.744799999999998</v>
      </c>
      <c r="AA44" s="21">
        <f t="shared" si="7"/>
        <v>14016.544800000001</v>
      </c>
      <c r="AB44" s="56">
        <v>1237.2</v>
      </c>
      <c r="AC44" s="56">
        <v>3226.7</v>
      </c>
      <c r="AD44" s="58">
        <f t="shared" si="8"/>
        <v>-8128.7200000000012</v>
      </c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</row>
    <row r="45" spans="1:44" x14ac:dyDescent="0.25">
      <c r="A45" s="62" t="s">
        <v>236</v>
      </c>
      <c r="B45" s="62" t="s">
        <v>298</v>
      </c>
      <c r="C45" s="63" t="s">
        <v>84</v>
      </c>
      <c r="D45" s="62" t="s">
        <v>299</v>
      </c>
      <c r="E45" s="62" t="s">
        <v>300</v>
      </c>
      <c r="F45" s="62"/>
      <c r="G45" s="64"/>
      <c r="H45" s="62"/>
      <c r="I45" s="64">
        <f t="shared" si="0"/>
        <v>0</v>
      </c>
      <c r="J45" s="64"/>
      <c r="K45" s="64">
        <v>0</v>
      </c>
      <c r="L45" s="64"/>
      <c r="M45" s="64"/>
      <c r="N45" s="64"/>
      <c r="O45" s="64">
        <f t="shared" si="1"/>
        <v>0</v>
      </c>
      <c r="P45" s="64"/>
      <c r="Q45" s="65"/>
      <c r="R45" s="65"/>
      <c r="S45" s="65"/>
      <c r="T45" s="66"/>
      <c r="U45" s="66"/>
      <c r="V45" s="64">
        <f t="shared" si="2"/>
        <v>0</v>
      </c>
      <c r="W45" s="65">
        <f t="shared" si="3"/>
        <v>0</v>
      </c>
      <c r="X45" s="64">
        <f t="shared" si="4"/>
        <v>0</v>
      </c>
      <c r="Y45" s="65">
        <f t="shared" si="5"/>
        <v>0</v>
      </c>
      <c r="Z45" s="65">
        <f t="shared" si="6"/>
        <v>0</v>
      </c>
      <c r="AA45" s="64">
        <f t="shared" si="7"/>
        <v>0</v>
      </c>
      <c r="AB45" s="67">
        <v>1237.2</v>
      </c>
      <c r="AC45" s="67">
        <v>3148.34</v>
      </c>
      <c r="AD45" s="68">
        <f t="shared" si="8"/>
        <v>4385.54</v>
      </c>
      <c r="AE45" s="69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</row>
    <row r="46" spans="1:44" x14ac:dyDescent="0.25">
      <c r="A46" s="17" t="s">
        <v>200</v>
      </c>
      <c r="B46" s="17" t="s">
        <v>245</v>
      </c>
      <c r="C46" s="18"/>
      <c r="D46" s="17" t="s">
        <v>246</v>
      </c>
      <c r="E46" s="17"/>
      <c r="F46" s="17"/>
      <c r="G46" s="19">
        <v>1237.2399999999998</v>
      </c>
      <c r="H46" s="70">
        <f>5000-G46</f>
        <v>3762.76</v>
      </c>
      <c r="I46" s="19">
        <f t="shared" si="0"/>
        <v>5000</v>
      </c>
      <c r="J46" s="19">
        <v>36115.03</v>
      </c>
      <c r="K46" s="19">
        <v>0</v>
      </c>
      <c r="L46" s="19"/>
      <c r="M46" s="19"/>
      <c r="N46" s="20">
        <v>45.15</v>
      </c>
      <c r="O46" s="21">
        <f t="shared" si="1"/>
        <v>41069.879999999997</v>
      </c>
      <c r="P46" s="22"/>
      <c r="Q46" s="23"/>
      <c r="R46" s="23"/>
      <c r="S46" s="23"/>
      <c r="T46" s="24"/>
      <c r="U46" s="24">
        <v>0</v>
      </c>
      <c r="V46" s="21">
        <f t="shared" si="2"/>
        <v>41069.879999999997</v>
      </c>
      <c r="W46" s="25">
        <f t="shared" si="3"/>
        <v>4106.9880000000003</v>
      </c>
      <c r="X46" s="21">
        <f t="shared" si="4"/>
        <v>36962.892</v>
      </c>
      <c r="Y46" s="26">
        <f t="shared" si="5"/>
        <v>0</v>
      </c>
      <c r="Z46" s="25">
        <f t="shared" si="6"/>
        <v>24.744799999999998</v>
      </c>
      <c r="AA46" s="21">
        <f t="shared" si="7"/>
        <v>41094.624799999998</v>
      </c>
      <c r="AB46" s="56">
        <v>1237.2</v>
      </c>
      <c r="AC46" s="56">
        <v>14581.2</v>
      </c>
      <c r="AD46" s="57">
        <f t="shared" si="8"/>
        <v>-21144.491999999998</v>
      </c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</row>
    <row r="47" spans="1:44" x14ac:dyDescent="0.25">
      <c r="A47" s="17" t="s">
        <v>190</v>
      </c>
      <c r="B47" s="17" t="s">
        <v>247</v>
      </c>
      <c r="C47" s="18" t="s">
        <v>86</v>
      </c>
      <c r="D47" s="17" t="s">
        <v>248</v>
      </c>
      <c r="E47" s="31"/>
      <c r="F47" s="31"/>
      <c r="G47" s="19">
        <v>1237.2399999999998</v>
      </c>
      <c r="H47" s="31">
        <v>762.76000000000022</v>
      </c>
      <c r="I47" s="19">
        <f t="shared" si="0"/>
        <v>2000</v>
      </c>
      <c r="J47" s="19">
        <v>8981.98</v>
      </c>
      <c r="K47" s="19">
        <v>188.73</v>
      </c>
      <c r="L47" s="32"/>
      <c r="M47" s="32"/>
      <c r="N47" s="20">
        <v>45.15</v>
      </c>
      <c r="O47" s="21">
        <f t="shared" si="1"/>
        <v>11125.56</v>
      </c>
      <c r="P47" s="22"/>
      <c r="Q47" s="23"/>
      <c r="R47" s="23"/>
      <c r="S47" s="23"/>
      <c r="T47" s="24"/>
      <c r="U47" s="24">
        <v>1280.0899999999999</v>
      </c>
      <c r="V47" s="21">
        <f t="shared" si="2"/>
        <v>9845.4699999999993</v>
      </c>
      <c r="W47" s="25">
        <f t="shared" si="3"/>
        <v>1112.556</v>
      </c>
      <c r="X47" s="21">
        <f t="shared" si="4"/>
        <v>8732.9139999999989</v>
      </c>
      <c r="Y47" s="26">
        <f t="shared" si="5"/>
        <v>0</v>
      </c>
      <c r="Z47" s="25">
        <f t="shared" si="6"/>
        <v>24.744799999999998</v>
      </c>
      <c r="AA47" s="21">
        <f t="shared" si="7"/>
        <v>11150.3048</v>
      </c>
      <c r="AB47" s="56">
        <v>834.2</v>
      </c>
      <c r="AC47" s="56">
        <v>74.44</v>
      </c>
      <c r="AD47" s="57">
        <f t="shared" si="8"/>
        <v>-7824.2739999999985</v>
      </c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</row>
    <row r="48" spans="1:44" x14ac:dyDescent="0.25">
      <c r="A48" s="17" t="s">
        <v>233</v>
      </c>
      <c r="B48" s="17" t="s">
        <v>249</v>
      </c>
      <c r="C48" s="17" t="s">
        <v>88</v>
      </c>
      <c r="D48" s="17" t="s">
        <v>121</v>
      </c>
      <c r="E48" s="31"/>
      <c r="F48" s="31"/>
      <c r="G48" s="19">
        <v>1237.2399999999998</v>
      </c>
      <c r="H48" s="31">
        <v>-37.239999999999782</v>
      </c>
      <c r="I48" s="19">
        <f t="shared" si="0"/>
        <v>1200</v>
      </c>
      <c r="J48" s="19">
        <v>4980.6899999999996</v>
      </c>
      <c r="K48" s="19">
        <v>125.12</v>
      </c>
      <c r="L48" s="32"/>
      <c r="M48" s="32"/>
      <c r="N48" s="20">
        <v>45.15</v>
      </c>
      <c r="O48" s="21">
        <f t="shared" si="1"/>
        <v>6260.66</v>
      </c>
      <c r="P48" s="22"/>
      <c r="Q48" s="23"/>
      <c r="R48" s="23"/>
      <c r="S48" s="23"/>
      <c r="T48" s="24"/>
      <c r="U48" s="24">
        <v>0</v>
      </c>
      <c r="V48" s="21">
        <f t="shared" si="2"/>
        <v>6260.66</v>
      </c>
      <c r="W48" s="25">
        <f t="shared" si="3"/>
        <v>626.06600000000003</v>
      </c>
      <c r="X48" s="21">
        <f t="shared" si="4"/>
        <v>5634.5940000000001</v>
      </c>
      <c r="Y48" s="26">
        <f t="shared" si="5"/>
        <v>0</v>
      </c>
      <c r="Z48" s="25">
        <f t="shared" si="6"/>
        <v>24.744799999999998</v>
      </c>
      <c r="AA48" s="21">
        <f t="shared" si="7"/>
        <v>6285.4048000000003</v>
      </c>
      <c r="AB48" s="56">
        <v>1237.2</v>
      </c>
      <c r="AC48" s="56">
        <v>2181.23</v>
      </c>
      <c r="AD48" s="58">
        <f t="shared" si="8"/>
        <v>-2216.1639999999998</v>
      </c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</row>
    <row r="49" spans="1:44" x14ac:dyDescent="0.25">
      <c r="A49" s="17" t="s">
        <v>233</v>
      </c>
      <c r="B49" s="17" t="s">
        <v>139</v>
      </c>
      <c r="C49" s="17">
        <v>33</v>
      </c>
      <c r="D49" s="17" t="s">
        <v>250</v>
      </c>
      <c r="E49" s="17"/>
      <c r="F49" s="17"/>
      <c r="G49" s="19">
        <v>1237.2399999999998</v>
      </c>
      <c r="H49" s="17">
        <v>-37.239999999999782</v>
      </c>
      <c r="I49" s="19">
        <f t="shared" si="0"/>
        <v>1200</v>
      </c>
      <c r="J49" s="19">
        <v>3107.24</v>
      </c>
      <c r="K49" s="19">
        <v>0</v>
      </c>
      <c r="L49" s="19"/>
      <c r="M49" s="19"/>
      <c r="N49" s="20">
        <v>45.15</v>
      </c>
      <c r="O49" s="21">
        <f t="shared" si="1"/>
        <v>4262.09</v>
      </c>
      <c r="P49" s="22"/>
      <c r="Q49" s="23"/>
      <c r="R49" s="23"/>
      <c r="S49" s="23"/>
      <c r="T49" s="24"/>
      <c r="U49" s="24">
        <v>0</v>
      </c>
      <c r="V49" s="21">
        <f t="shared" si="2"/>
        <v>4262.09</v>
      </c>
      <c r="W49" s="25">
        <f t="shared" si="3"/>
        <v>0</v>
      </c>
      <c r="X49" s="21">
        <f t="shared" si="4"/>
        <v>4262.09</v>
      </c>
      <c r="Y49" s="26">
        <f t="shared" si="5"/>
        <v>426.20900000000006</v>
      </c>
      <c r="Z49" s="25">
        <f t="shared" si="6"/>
        <v>24.744799999999998</v>
      </c>
      <c r="AA49" s="21">
        <f t="shared" si="7"/>
        <v>4713.0438000000004</v>
      </c>
      <c r="AB49" s="56">
        <v>1237.2</v>
      </c>
      <c r="AC49" s="56">
        <v>3991.77</v>
      </c>
      <c r="AD49" s="58">
        <f t="shared" si="8"/>
        <v>966.88000000000011</v>
      </c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</row>
    <row r="50" spans="1:44" x14ac:dyDescent="0.25">
      <c r="A50" s="17" t="s">
        <v>251</v>
      </c>
      <c r="B50" s="17" t="s">
        <v>134</v>
      </c>
      <c r="C50" s="18" t="s">
        <v>92</v>
      </c>
      <c r="D50" s="17" t="s">
        <v>252</v>
      </c>
      <c r="E50" s="17"/>
      <c r="F50" s="17"/>
      <c r="G50" s="19">
        <v>1237.2399999999998</v>
      </c>
      <c r="H50" s="17">
        <v>762.76000000000022</v>
      </c>
      <c r="I50" s="19">
        <f t="shared" si="0"/>
        <v>2000</v>
      </c>
      <c r="J50" s="19">
        <v>5129.58</v>
      </c>
      <c r="K50" s="19">
        <v>188.73</v>
      </c>
      <c r="L50" s="19"/>
      <c r="M50" s="19"/>
      <c r="N50" s="20">
        <v>45.15</v>
      </c>
      <c r="O50" s="21">
        <f t="shared" si="1"/>
        <v>7273.16</v>
      </c>
      <c r="P50" s="22"/>
      <c r="Q50" s="23"/>
      <c r="R50" s="23"/>
      <c r="S50" s="23"/>
      <c r="T50" s="24"/>
      <c r="U50" s="24">
        <v>0</v>
      </c>
      <c r="V50" s="21">
        <f t="shared" si="2"/>
        <v>7273.16</v>
      </c>
      <c r="W50" s="25">
        <f t="shared" si="3"/>
        <v>727.31600000000003</v>
      </c>
      <c r="X50" s="21">
        <f t="shared" si="4"/>
        <v>6545.8440000000001</v>
      </c>
      <c r="Y50" s="26">
        <f t="shared" si="5"/>
        <v>0</v>
      </c>
      <c r="Z50" s="25">
        <f t="shared" si="6"/>
        <v>24.744799999999998</v>
      </c>
      <c r="AA50" s="21">
        <f t="shared" si="7"/>
        <v>7297.9048000000003</v>
      </c>
      <c r="AB50" s="56">
        <v>1237.2</v>
      </c>
      <c r="AC50" s="56">
        <v>734.25</v>
      </c>
      <c r="AD50" s="58">
        <f t="shared" si="8"/>
        <v>-4574.3940000000002</v>
      </c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</row>
    <row r="51" spans="1:44" s="28" customFormat="1" x14ac:dyDescent="0.25">
      <c r="A51" s="17" t="s">
        <v>192</v>
      </c>
      <c r="B51" s="17" t="s">
        <v>253</v>
      </c>
      <c r="C51" s="18" t="s">
        <v>94</v>
      </c>
      <c r="D51" s="17" t="s">
        <v>254</v>
      </c>
      <c r="E51" s="17"/>
      <c r="F51" s="17"/>
      <c r="G51" s="19">
        <v>1237.2399999999998</v>
      </c>
      <c r="H51" s="70">
        <v>1762.76</v>
      </c>
      <c r="I51" s="19">
        <f t="shared" si="0"/>
        <v>3000</v>
      </c>
      <c r="J51" s="19">
        <v>2000</v>
      </c>
      <c r="K51" s="19">
        <v>188.73</v>
      </c>
      <c r="L51" s="19"/>
      <c r="M51" s="19"/>
      <c r="N51" s="20">
        <v>45.15</v>
      </c>
      <c r="O51" s="21">
        <f t="shared" si="1"/>
        <v>5143.58</v>
      </c>
      <c r="P51" s="22"/>
      <c r="Q51" s="23"/>
      <c r="R51" s="23"/>
      <c r="S51" s="23"/>
      <c r="T51" s="24"/>
      <c r="U51" s="24">
        <v>0</v>
      </c>
      <c r="V51" s="21">
        <f t="shared" si="2"/>
        <v>5143.58</v>
      </c>
      <c r="W51" s="25">
        <f t="shared" si="3"/>
        <v>514.35800000000006</v>
      </c>
      <c r="X51" s="21">
        <f t="shared" si="4"/>
        <v>4629.2219999999998</v>
      </c>
      <c r="Y51" s="71">
        <f t="shared" si="5"/>
        <v>0</v>
      </c>
      <c r="Z51" s="25">
        <f t="shared" si="6"/>
        <v>24.744799999999998</v>
      </c>
      <c r="AA51" s="21">
        <f t="shared" si="7"/>
        <v>5168.3248000000003</v>
      </c>
      <c r="AB51" s="56">
        <v>1237.2</v>
      </c>
      <c r="AC51" s="56">
        <v>951.53</v>
      </c>
      <c r="AD51" s="57">
        <f t="shared" si="8"/>
        <v>-2440.4919999999997</v>
      </c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</row>
    <row r="52" spans="1:44" x14ac:dyDescent="0.25">
      <c r="A52" s="45" t="s">
        <v>225</v>
      </c>
      <c r="B52" s="45" t="s">
        <v>301</v>
      </c>
      <c r="C52" s="46"/>
      <c r="D52" s="45" t="s">
        <v>214</v>
      </c>
      <c r="E52" s="45"/>
      <c r="F52" s="45"/>
      <c r="G52" s="19">
        <v>1237.2399999999998</v>
      </c>
      <c r="H52" s="72">
        <v>1762.76</v>
      </c>
      <c r="I52" s="19">
        <f t="shared" si="0"/>
        <v>3000</v>
      </c>
      <c r="J52" s="47"/>
      <c r="K52" s="47"/>
      <c r="L52" s="47"/>
      <c r="M52" s="47"/>
      <c r="N52" s="20">
        <v>45.15</v>
      </c>
      <c r="O52" s="21">
        <f t="shared" si="1"/>
        <v>2954.85</v>
      </c>
      <c r="P52" s="22"/>
      <c r="Q52" s="23"/>
      <c r="R52" s="23"/>
      <c r="S52" s="23"/>
      <c r="T52" s="60"/>
      <c r="U52" s="24">
        <v>0</v>
      </c>
      <c r="V52" s="21">
        <f t="shared" si="2"/>
        <v>2954.85</v>
      </c>
      <c r="W52" s="25">
        <f t="shared" si="3"/>
        <v>0</v>
      </c>
      <c r="X52" s="21">
        <f t="shared" si="4"/>
        <v>2954.85</v>
      </c>
      <c r="Y52" s="71">
        <f t="shared" si="5"/>
        <v>295.48500000000001</v>
      </c>
      <c r="Z52" s="25">
        <f t="shared" si="6"/>
        <v>24.744799999999998</v>
      </c>
      <c r="AA52" s="21">
        <f t="shared" si="7"/>
        <v>3275.0798</v>
      </c>
      <c r="AB52" s="59"/>
      <c r="AC52" s="59"/>
      <c r="AD52" s="73"/>
      <c r="AE52" s="33" t="s">
        <v>302</v>
      </c>
      <c r="AF52" s="33"/>
      <c r="AG52" s="33"/>
      <c r="AH52" s="33"/>
      <c r="AI52" s="27"/>
      <c r="AJ52" s="27"/>
      <c r="AK52" s="27"/>
      <c r="AL52" s="27"/>
      <c r="AM52" s="27"/>
      <c r="AN52" s="27"/>
      <c r="AO52" s="27"/>
      <c r="AP52" s="27"/>
      <c r="AQ52" s="27"/>
      <c r="AR52" s="27"/>
    </row>
    <row r="53" spans="1:44" x14ac:dyDescent="0.25">
      <c r="A53" s="17" t="s">
        <v>190</v>
      </c>
      <c r="B53" s="17" t="s">
        <v>137</v>
      </c>
      <c r="C53" s="18" t="s">
        <v>96</v>
      </c>
      <c r="D53" s="17" t="s">
        <v>122</v>
      </c>
      <c r="E53" s="31"/>
      <c r="F53" s="31"/>
      <c r="G53" s="19">
        <v>1237.2399999999998</v>
      </c>
      <c r="H53" s="31">
        <v>-37.239999999999782</v>
      </c>
      <c r="I53" s="19">
        <f t="shared" si="0"/>
        <v>1200</v>
      </c>
      <c r="J53" s="19">
        <v>4932</v>
      </c>
      <c r="K53" s="19">
        <v>125.12</v>
      </c>
      <c r="L53" s="32"/>
      <c r="M53" s="32"/>
      <c r="N53" s="20">
        <v>45.15</v>
      </c>
      <c r="O53" s="21">
        <f t="shared" si="1"/>
        <v>6211.97</v>
      </c>
      <c r="P53" s="22"/>
      <c r="Q53" s="23"/>
      <c r="R53" s="23"/>
      <c r="S53" s="23"/>
      <c r="T53" s="24"/>
      <c r="U53" s="24">
        <v>0</v>
      </c>
      <c r="V53" s="21">
        <f t="shared" si="2"/>
        <v>6211.97</v>
      </c>
      <c r="W53" s="25">
        <f t="shared" si="3"/>
        <v>621.19700000000012</v>
      </c>
      <c r="X53" s="21">
        <f t="shared" si="4"/>
        <v>5590.7730000000001</v>
      </c>
      <c r="Y53" s="26">
        <f t="shared" si="5"/>
        <v>0</v>
      </c>
      <c r="Z53" s="25">
        <f t="shared" si="6"/>
        <v>24.744799999999998</v>
      </c>
      <c r="AA53" s="21">
        <f t="shared" si="7"/>
        <v>6236.7148000000007</v>
      </c>
      <c r="AB53" s="56">
        <v>1237.2</v>
      </c>
      <c r="AC53" s="56">
        <v>2130.42</v>
      </c>
      <c r="AD53" s="58">
        <f t="shared" si="8"/>
        <v>-2223.1530000000002</v>
      </c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</row>
    <row r="54" spans="1:44" x14ac:dyDescent="0.25">
      <c r="A54" s="17" t="s">
        <v>190</v>
      </c>
      <c r="B54" s="17" t="s">
        <v>255</v>
      </c>
      <c r="C54" s="18" t="s">
        <v>98</v>
      </c>
      <c r="D54" s="17" t="s">
        <v>256</v>
      </c>
      <c r="E54" s="31"/>
      <c r="F54" s="31"/>
      <c r="G54" s="19">
        <v>1237.2399999999998</v>
      </c>
      <c r="H54" s="31">
        <v>-37.239999999999782</v>
      </c>
      <c r="I54" s="19">
        <f t="shared" si="0"/>
        <v>1200</v>
      </c>
      <c r="J54" s="19">
        <v>5117.09</v>
      </c>
      <c r="K54" s="19">
        <v>0</v>
      </c>
      <c r="L54" s="32"/>
      <c r="M54" s="32"/>
      <c r="N54" s="20">
        <v>45.15</v>
      </c>
      <c r="O54" s="21">
        <f t="shared" si="1"/>
        <v>6271.9400000000005</v>
      </c>
      <c r="P54" s="22"/>
      <c r="Q54" s="23"/>
      <c r="R54" s="23"/>
      <c r="S54" s="23"/>
      <c r="T54" s="24"/>
      <c r="U54" s="24">
        <v>340.56</v>
      </c>
      <c r="V54" s="21">
        <f t="shared" si="2"/>
        <v>5931.38</v>
      </c>
      <c r="W54" s="25">
        <f t="shared" si="3"/>
        <v>627.19400000000007</v>
      </c>
      <c r="X54" s="21">
        <f t="shared" si="4"/>
        <v>5304.1859999999997</v>
      </c>
      <c r="Y54" s="26">
        <f t="shared" si="5"/>
        <v>0</v>
      </c>
      <c r="Z54" s="25">
        <f t="shared" si="6"/>
        <v>24.744799999999998</v>
      </c>
      <c r="AA54" s="21">
        <f t="shared" si="7"/>
        <v>6296.6848000000009</v>
      </c>
      <c r="AB54" s="56">
        <v>1237.2</v>
      </c>
      <c r="AC54" s="56">
        <v>4238.57</v>
      </c>
      <c r="AD54" s="58">
        <f t="shared" si="8"/>
        <v>171.58399999999983</v>
      </c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</row>
    <row r="55" spans="1:44" x14ac:dyDescent="0.25">
      <c r="A55" s="17" t="s">
        <v>192</v>
      </c>
      <c r="B55" s="17" t="s">
        <v>257</v>
      </c>
      <c r="C55" s="18" t="s">
        <v>100</v>
      </c>
      <c r="D55" s="17" t="s">
        <v>258</v>
      </c>
      <c r="E55" s="31"/>
      <c r="F55" s="31"/>
      <c r="G55" s="19">
        <v>1237.2399999999998</v>
      </c>
      <c r="H55" s="31">
        <v>762.76000000000022</v>
      </c>
      <c r="I55" s="19">
        <f t="shared" si="0"/>
        <v>2000</v>
      </c>
      <c r="J55" s="19">
        <v>10707.26</v>
      </c>
      <c r="K55" s="19">
        <v>188.73</v>
      </c>
      <c r="L55" s="32"/>
      <c r="M55" s="32"/>
      <c r="N55" s="20">
        <v>45.15</v>
      </c>
      <c r="O55" s="21">
        <f t="shared" si="1"/>
        <v>12850.84</v>
      </c>
      <c r="P55" s="22"/>
      <c r="Q55" s="23"/>
      <c r="R55" s="23"/>
      <c r="S55" s="23"/>
      <c r="T55" s="24"/>
      <c r="U55" s="24">
        <v>0</v>
      </c>
      <c r="V55" s="21">
        <f t="shared" si="2"/>
        <v>12850.84</v>
      </c>
      <c r="W55" s="25">
        <f t="shared" si="3"/>
        <v>1285.0840000000001</v>
      </c>
      <c r="X55" s="21">
        <f t="shared" si="4"/>
        <v>11565.755999999999</v>
      </c>
      <c r="Y55" s="26">
        <f t="shared" si="5"/>
        <v>0</v>
      </c>
      <c r="Z55" s="25">
        <f t="shared" si="6"/>
        <v>24.744799999999998</v>
      </c>
      <c r="AA55" s="21">
        <f t="shared" si="7"/>
        <v>12875.584800000001</v>
      </c>
      <c r="AB55" s="56">
        <v>1237.2</v>
      </c>
      <c r="AC55" s="56">
        <v>951.53</v>
      </c>
      <c r="AD55" s="57">
        <f t="shared" si="8"/>
        <v>-9377.0259999999998</v>
      </c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</row>
    <row r="56" spans="1:44" x14ac:dyDescent="0.25">
      <c r="A56" s="17" t="s">
        <v>251</v>
      </c>
      <c r="B56" s="17" t="s">
        <v>133</v>
      </c>
      <c r="C56" s="18">
        <v>8</v>
      </c>
      <c r="D56" s="17" t="s">
        <v>259</v>
      </c>
      <c r="E56" s="17"/>
      <c r="F56" s="17"/>
      <c r="G56" s="19">
        <v>1237.2399999999998</v>
      </c>
      <c r="H56" s="17">
        <v>2262.7600000000002</v>
      </c>
      <c r="I56" s="19">
        <f t="shared" si="0"/>
        <v>3500</v>
      </c>
      <c r="J56" s="19">
        <v>19908.830000000002</v>
      </c>
      <c r="K56" s="19">
        <v>125.12</v>
      </c>
      <c r="L56" s="19"/>
      <c r="M56" s="19"/>
      <c r="N56" s="20">
        <v>45.15</v>
      </c>
      <c r="O56" s="21">
        <f t="shared" si="1"/>
        <v>23488.799999999999</v>
      </c>
      <c r="P56" s="22"/>
      <c r="Q56" s="23"/>
      <c r="R56" s="23"/>
      <c r="S56" s="23"/>
      <c r="T56" s="24"/>
      <c r="U56" s="24">
        <v>0</v>
      </c>
      <c r="V56" s="21">
        <f t="shared" si="2"/>
        <v>23488.799999999999</v>
      </c>
      <c r="W56" s="25">
        <f t="shared" si="3"/>
        <v>2348.88</v>
      </c>
      <c r="X56" s="21">
        <f t="shared" si="4"/>
        <v>21139.919999999998</v>
      </c>
      <c r="Y56" s="26">
        <f t="shared" si="5"/>
        <v>0</v>
      </c>
      <c r="Z56" s="25">
        <f t="shared" si="6"/>
        <v>24.744799999999998</v>
      </c>
      <c r="AA56" s="21">
        <f t="shared" si="7"/>
        <v>23513.5448</v>
      </c>
      <c r="AB56" s="56">
        <v>1237.2</v>
      </c>
      <c r="AC56" s="56">
        <v>2387.92</v>
      </c>
      <c r="AD56" s="57">
        <f t="shared" si="8"/>
        <v>-17514.8</v>
      </c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</row>
    <row r="57" spans="1:44" x14ac:dyDescent="0.25">
      <c r="A57" s="17" t="s">
        <v>236</v>
      </c>
      <c r="B57" s="17" t="s">
        <v>132</v>
      </c>
      <c r="C57" s="18" t="s">
        <v>104</v>
      </c>
      <c r="D57" s="17" t="s">
        <v>260</v>
      </c>
      <c r="E57" s="17" t="s">
        <v>194</v>
      </c>
      <c r="F57" s="17"/>
      <c r="G57" s="19">
        <v>1237.2399999999998</v>
      </c>
      <c r="H57" s="17">
        <v>11262.76</v>
      </c>
      <c r="I57" s="19">
        <f t="shared" si="0"/>
        <v>12500</v>
      </c>
      <c r="J57" s="19"/>
      <c r="K57" s="19">
        <v>0</v>
      </c>
      <c r="L57" s="19"/>
      <c r="M57" s="19"/>
      <c r="N57" s="20">
        <v>45.15</v>
      </c>
      <c r="O57" s="21">
        <f t="shared" si="1"/>
        <v>12454.85</v>
      </c>
      <c r="P57" s="22"/>
      <c r="Q57" s="23">
        <v>117.81</v>
      </c>
      <c r="R57" s="23"/>
      <c r="S57" s="23"/>
      <c r="T57" s="24"/>
      <c r="U57" s="24">
        <v>0</v>
      </c>
      <c r="V57" s="21">
        <f t="shared" si="2"/>
        <v>12337.04</v>
      </c>
      <c r="W57" s="25">
        <f t="shared" si="3"/>
        <v>1245.4850000000001</v>
      </c>
      <c r="X57" s="21">
        <f t="shared" si="4"/>
        <v>11091.555</v>
      </c>
      <c r="Y57" s="26">
        <f t="shared" si="5"/>
        <v>0</v>
      </c>
      <c r="Z57" s="25">
        <f t="shared" si="6"/>
        <v>24.744799999999998</v>
      </c>
      <c r="AA57" s="21">
        <f t="shared" si="7"/>
        <v>12479.594800000001</v>
      </c>
      <c r="AB57" s="56">
        <v>1237.2</v>
      </c>
      <c r="AC57" s="56">
        <v>9894.99</v>
      </c>
      <c r="AD57" s="57">
        <f t="shared" si="8"/>
        <v>40.635000000000218</v>
      </c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</row>
    <row r="58" spans="1:44" x14ac:dyDescent="0.25">
      <c r="A58" s="17" t="s">
        <v>225</v>
      </c>
      <c r="B58" s="17" t="s">
        <v>261</v>
      </c>
      <c r="C58" s="18">
        <v>18</v>
      </c>
      <c r="D58" s="17" t="s">
        <v>214</v>
      </c>
      <c r="E58" s="17"/>
      <c r="F58" s="17"/>
      <c r="G58" s="19">
        <v>1237.2399999999998</v>
      </c>
      <c r="H58" s="17">
        <v>2262.7600000000002</v>
      </c>
      <c r="I58" s="19">
        <f t="shared" si="0"/>
        <v>3500</v>
      </c>
      <c r="J58" s="19">
        <v>8981.98</v>
      </c>
      <c r="K58" s="19">
        <v>125.12</v>
      </c>
      <c r="L58" s="19"/>
      <c r="M58" s="19"/>
      <c r="N58" s="20">
        <v>45.15</v>
      </c>
      <c r="O58" s="21">
        <f t="shared" si="1"/>
        <v>12561.95</v>
      </c>
      <c r="P58" s="22"/>
      <c r="Q58" s="23"/>
      <c r="R58" s="23"/>
      <c r="S58" s="23"/>
      <c r="T58" s="24"/>
      <c r="U58" s="24">
        <v>741.3</v>
      </c>
      <c r="V58" s="21">
        <f t="shared" si="2"/>
        <v>11820.650000000001</v>
      </c>
      <c r="W58" s="25">
        <f t="shared" si="3"/>
        <v>1256.1950000000002</v>
      </c>
      <c r="X58" s="21">
        <f t="shared" si="4"/>
        <v>10564.455000000002</v>
      </c>
      <c r="Y58" s="26">
        <f t="shared" si="5"/>
        <v>0</v>
      </c>
      <c r="Z58" s="25">
        <f t="shared" si="6"/>
        <v>24.744799999999998</v>
      </c>
      <c r="AA58" s="21">
        <f t="shared" si="7"/>
        <v>12586.694800000001</v>
      </c>
      <c r="AB58" s="56">
        <v>1237.2</v>
      </c>
      <c r="AC58" s="56">
        <v>1646.62</v>
      </c>
      <c r="AD58" s="57">
        <f t="shared" si="8"/>
        <v>-7680.635000000002</v>
      </c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</row>
    <row r="59" spans="1:44" x14ac:dyDescent="0.25">
      <c r="A59" s="17" t="s">
        <v>233</v>
      </c>
      <c r="B59" s="17" t="s">
        <v>140</v>
      </c>
      <c r="C59" s="17" t="s">
        <v>108</v>
      </c>
      <c r="D59" s="17" t="s">
        <v>262</v>
      </c>
      <c r="E59" s="17"/>
      <c r="F59" s="17"/>
      <c r="G59" s="19">
        <v>1237.2399999999998</v>
      </c>
      <c r="H59" s="17">
        <v>1512.7600000000002</v>
      </c>
      <c r="I59" s="19">
        <f t="shared" si="0"/>
        <v>2750</v>
      </c>
      <c r="J59" s="19">
        <v>7127.04</v>
      </c>
      <c r="K59" s="19">
        <v>145.37</v>
      </c>
      <c r="L59" s="19"/>
      <c r="M59" s="19"/>
      <c r="N59" s="20">
        <v>45.15</v>
      </c>
      <c r="O59" s="21">
        <f t="shared" si="1"/>
        <v>9977.260000000002</v>
      </c>
      <c r="P59" s="22"/>
      <c r="Q59" s="23"/>
      <c r="R59" s="23"/>
      <c r="S59" s="23"/>
      <c r="T59" s="24"/>
      <c r="U59" s="24">
        <v>0</v>
      </c>
      <c r="V59" s="21">
        <f t="shared" si="2"/>
        <v>9977.260000000002</v>
      </c>
      <c r="W59" s="25">
        <f t="shared" si="3"/>
        <v>997.72600000000023</v>
      </c>
      <c r="X59" s="21">
        <f t="shared" si="4"/>
        <v>8979.5340000000015</v>
      </c>
      <c r="Y59" s="26">
        <f t="shared" si="5"/>
        <v>0</v>
      </c>
      <c r="Z59" s="25">
        <f t="shared" si="6"/>
        <v>24.744799999999998</v>
      </c>
      <c r="AA59" s="21">
        <f t="shared" si="7"/>
        <v>10002.004800000002</v>
      </c>
      <c r="AB59" s="56">
        <v>1237.2</v>
      </c>
      <c r="AC59" s="56">
        <v>1560.24</v>
      </c>
      <c r="AD59" s="58">
        <f t="shared" si="8"/>
        <v>-6182.094000000001</v>
      </c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</row>
    <row r="60" spans="1:44" x14ac:dyDescent="0.25">
      <c r="A60" s="17" t="s">
        <v>190</v>
      </c>
      <c r="B60" s="17" t="s">
        <v>263</v>
      </c>
      <c r="C60" s="18" t="s">
        <v>110</v>
      </c>
      <c r="D60" s="17" t="s">
        <v>214</v>
      </c>
      <c r="E60" s="31"/>
      <c r="F60" s="31"/>
      <c r="G60" s="19">
        <v>1237.2399999999998</v>
      </c>
      <c r="H60" s="31">
        <v>-37.239999999999782</v>
      </c>
      <c r="I60" s="19">
        <f t="shared" si="0"/>
        <v>1200</v>
      </c>
      <c r="J60" s="19">
        <v>5200</v>
      </c>
      <c r="K60" s="19">
        <v>0</v>
      </c>
      <c r="L60" s="32"/>
      <c r="M60" s="32"/>
      <c r="N60" s="20">
        <v>45.15</v>
      </c>
      <c r="O60" s="21">
        <f t="shared" si="1"/>
        <v>6354.85</v>
      </c>
      <c r="P60" s="22"/>
      <c r="Q60" s="23"/>
      <c r="R60" s="23"/>
      <c r="S60" s="23"/>
      <c r="T60" s="24"/>
      <c r="U60" s="24">
        <v>0</v>
      </c>
      <c r="V60" s="21">
        <f t="shared" si="2"/>
        <v>6354.85</v>
      </c>
      <c r="W60" s="25">
        <f t="shared" si="3"/>
        <v>635.48500000000013</v>
      </c>
      <c r="X60" s="21">
        <f t="shared" si="4"/>
        <v>5719.3649999999998</v>
      </c>
      <c r="Y60" s="26">
        <f t="shared" si="5"/>
        <v>0</v>
      </c>
      <c r="Z60" s="25">
        <f t="shared" si="6"/>
        <v>24.744799999999998</v>
      </c>
      <c r="AA60" s="21">
        <f t="shared" si="7"/>
        <v>6379.5948000000008</v>
      </c>
      <c r="AB60" s="56">
        <v>1237.2</v>
      </c>
      <c r="AC60" s="56">
        <v>3303.71</v>
      </c>
      <c r="AD60" s="57">
        <f t="shared" si="8"/>
        <v>-1178.4549999999999</v>
      </c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</row>
    <row r="61" spans="1:44" s="28" customFormat="1" x14ac:dyDescent="0.25">
      <c r="A61" s="17" t="s">
        <v>190</v>
      </c>
      <c r="B61" s="17" t="s">
        <v>138</v>
      </c>
      <c r="C61" s="18" t="s">
        <v>112</v>
      </c>
      <c r="D61" s="17" t="s">
        <v>264</v>
      </c>
      <c r="E61" s="17"/>
      <c r="F61" s="17"/>
      <c r="G61" s="19">
        <v>1237.2399999999998</v>
      </c>
      <c r="H61" s="17">
        <v>-37.239999999999782</v>
      </c>
      <c r="I61" s="19">
        <f t="shared" si="0"/>
        <v>1200</v>
      </c>
      <c r="J61" s="19">
        <v>1800</v>
      </c>
      <c r="K61" s="19">
        <v>200.73</v>
      </c>
      <c r="L61" s="19"/>
      <c r="M61" s="19"/>
      <c r="N61" s="20">
        <v>45.15</v>
      </c>
      <c r="O61" s="21">
        <f t="shared" si="1"/>
        <v>3155.58</v>
      </c>
      <c r="P61" s="22"/>
      <c r="Q61" s="23"/>
      <c r="R61" s="23"/>
      <c r="S61" s="23"/>
      <c r="T61" s="24"/>
      <c r="U61" s="24">
        <v>0</v>
      </c>
      <c r="V61" s="21">
        <f t="shared" si="2"/>
        <v>3155.58</v>
      </c>
      <c r="W61" s="25">
        <f t="shared" si="3"/>
        <v>0</v>
      </c>
      <c r="X61" s="21">
        <f t="shared" si="4"/>
        <v>3155.58</v>
      </c>
      <c r="Y61" s="26">
        <f t="shared" si="5"/>
        <v>315.55799999999999</v>
      </c>
      <c r="Z61" s="25">
        <f t="shared" si="6"/>
        <v>24.744799999999998</v>
      </c>
      <c r="AA61" s="21">
        <f t="shared" si="7"/>
        <v>3495.8827999999999</v>
      </c>
      <c r="AB61" s="56">
        <v>1237.2</v>
      </c>
      <c r="AC61" s="56">
        <v>109.73</v>
      </c>
      <c r="AD61" s="58">
        <f t="shared" si="8"/>
        <v>-1808.6499999999999</v>
      </c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</row>
    <row r="62" spans="1:44" x14ac:dyDescent="0.25">
      <c r="A62" s="17" t="s">
        <v>233</v>
      </c>
      <c r="B62" s="17" t="s">
        <v>265</v>
      </c>
      <c r="C62" s="17" t="s">
        <v>114</v>
      </c>
      <c r="D62" s="17" t="s">
        <v>229</v>
      </c>
      <c r="E62" s="17"/>
      <c r="F62" s="17"/>
      <c r="G62" s="19">
        <v>1237.2399999999998</v>
      </c>
      <c r="H62" s="17">
        <v>1012.76</v>
      </c>
      <c r="I62" s="19">
        <f t="shared" si="0"/>
        <v>2250</v>
      </c>
      <c r="J62" s="19">
        <v>10108.09</v>
      </c>
      <c r="K62" s="19">
        <v>174.78</v>
      </c>
      <c r="L62" s="19"/>
      <c r="M62" s="19"/>
      <c r="N62" s="20">
        <v>45.15</v>
      </c>
      <c r="O62" s="21">
        <f t="shared" si="1"/>
        <v>12487.720000000001</v>
      </c>
      <c r="P62" s="22"/>
      <c r="Q62" s="23"/>
      <c r="R62" s="23"/>
      <c r="S62" s="23"/>
      <c r="T62" s="24"/>
      <c r="U62" s="24">
        <v>335.19</v>
      </c>
      <c r="V62" s="21">
        <f t="shared" si="2"/>
        <v>12152.53</v>
      </c>
      <c r="W62" s="25">
        <f t="shared" si="3"/>
        <v>1248.7720000000002</v>
      </c>
      <c r="X62" s="21">
        <f t="shared" si="4"/>
        <v>10903.758</v>
      </c>
      <c r="Y62" s="26">
        <f t="shared" si="5"/>
        <v>0</v>
      </c>
      <c r="Z62" s="25">
        <f t="shared" si="6"/>
        <v>24.744799999999998</v>
      </c>
      <c r="AA62" s="21">
        <f t="shared" si="7"/>
        <v>12512.464800000002</v>
      </c>
      <c r="AB62" s="56">
        <v>1237.2</v>
      </c>
      <c r="AC62" s="56">
        <v>852.39</v>
      </c>
      <c r="AD62" s="57">
        <f t="shared" si="8"/>
        <v>-8814.1679999999997</v>
      </c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</row>
    <row r="63" spans="1:44" x14ac:dyDescent="0.25">
      <c r="A63" s="17" t="s">
        <v>192</v>
      </c>
      <c r="B63" s="17" t="s">
        <v>266</v>
      </c>
      <c r="C63" s="18" t="s">
        <v>116</v>
      </c>
      <c r="D63" s="17" t="s">
        <v>122</v>
      </c>
      <c r="E63" s="31"/>
      <c r="F63" s="31"/>
      <c r="G63" s="19">
        <v>1237.2399999999998</v>
      </c>
      <c r="H63" s="31">
        <v>-37.239999999999782</v>
      </c>
      <c r="I63" s="19">
        <f t="shared" si="0"/>
        <v>1200</v>
      </c>
      <c r="J63" s="19">
        <v>1266.2</v>
      </c>
      <c r="K63" s="19">
        <v>174.78</v>
      </c>
      <c r="L63" s="32"/>
      <c r="M63" s="32"/>
      <c r="N63" s="20">
        <v>45.15</v>
      </c>
      <c r="O63" s="21">
        <f t="shared" si="1"/>
        <v>2595.83</v>
      </c>
      <c r="P63" s="22"/>
      <c r="Q63" s="23"/>
      <c r="R63" s="23"/>
      <c r="S63" s="23"/>
      <c r="T63" s="24"/>
      <c r="U63" s="24">
        <v>303.79000000000002</v>
      </c>
      <c r="V63" s="21">
        <f t="shared" si="2"/>
        <v>2292.04</v>
      </c>
      <c r="W63" s="25">
        <f t="shared" si="3"/>
        <v>0</v>
      </c>
      <c r="X63" s="21">
        <f t="shared" si="4"/>
        <v>2292.04</v>
      </c>
      <c r="Y63" s="26">
        <f t="shared" si="5"/>
        <v>259.58300000000003</v>
      </c>
      <c r="Z63" s="25">
        <f t="shared" si="6"/>
        <v>24.744799999999998</v>
      </c>
      <c r="AA63" s="21">
        <f t="shared" si="7"/>
        <v>2880.1578</v>
      </c>
      <c r="AB63" s="56">
        <v>1237.2</v>
      </c>
      <c r="AC63" s="56">
        <v>859.49</v>
      </c>
      <c r="AD63" s="57">
        <f>+AB63+AC63-X63</f>
        <v>-195.34999999999991</v>
      </c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</row>
    <row r="64" spans="1:44" s="27" customFormat="1" x14ac:dyDescent="0.25">
      <c r="A64" s="37"/>
      <c r="B64" s="17"/>
      <c r="C64" s="31"/>
      <c r="D64" s="17"/>
      <c r="E64" s="17"/>
      <c r="F64" s="17"/>
      <c r="G64" s="17"/>
      <c r="H64" s="17"/>
      <c r="I64" s="19"/>
      <c r="J64" s="19"/>
      <c r="K64" s="19"/>
      <c r="L64" s="19"/>
      <c r="M64" s="19"/>
      <c r="N64" s="20"/>
      <c r="O64" s="21">
        <f t="shared" si="1"/>
        <v>0</v>
      </c>
      <c r="P64" s="22"/>
      <c r="Q64" s="23"/>
      <c r="R64" s="23"/>
      <c r="S64" s="23"/>
      <c r="T64" s="25"/>
      <c r="U64" s="25"/>
      <c r="V64" s="21">
        <f t="shared" si="2"/>
        <v>0</v>
      </c>
      <c r="W64" s="25">
        <f t="shared" si="3"/>
        <v>0</v>
      </c>
      <c r="X64" s="21">
        <f t="shared" si="4"/>
        <v>0</v>
      </c>
      <c r="Y64" s="26">
        <f t="shared" si="5"/>
        <v>0</v>
      </c>
      <c r="Z64" s="25"/>
      <c r="AA64" s="21">
        <f t="shared" si="7"/>
        <v>0</v>
      </c>
      <c r="AB64" s="56"/>
      <c r="AC64" s="56"/>
      <c r="AD64" s="57"/>
    </row>
    <row r="65" spans="1:34" x14ac:dyDescent="0.25">
      <c r="A65" s="37"/>
      <c r="B65" s="38"/>
      <c r="C65" s="38"/>
      <c r="D65" s="38"/>
      <c r="E65" s="38"/>
      <c r="F65" s="38"/>
      <c r="G65" s="38"/>
      <c r="H65" s="38"/>
      <c r="I65" s="39"/>
      <c r="J65" s="39"/>
      <c r="K65" s="39"/>
      <c r="L65" s="39"/>
      <c r="M65" s="39"/>
      <c r="N65" s="39"/>
      <c r="O65" s="40"/>
      <c r="P65" s="39"/>
      <c r="Q65" s="25"/>
      <c r="R65" s="25"/>
      <c r="S65" s="25"/>
      <c r="T65" s="25"/>
      <c r="U65" s="25"/>
      <c r="V65" s="41"/>
      <c r="W65" s="25"/>
      <c r="X65" s="40"/>
      <c r="Y65" s="25"/>
      <c r="Z65" s="25"/>
      <c r="AA65" s="40"/>
      <c r="AB65" s="56"/>
      <c r="AC65" s="56"/>
      <c r="AD65" s="27"/>
      <c r="AE65" s="27"/>
      <c r="AF65" s="27"/>
      <c r="AG65" s="27"/>
      <c r="AH65" s="27"/>
    </row>
    <row r="66" spans="1:34" ht="16.5" thickBot="1" x14ac:dyDescent="0.3">
      <c r="B66" s="42" t="s">
        <v>267</v>
      </c>
      <c r="C66" s="42"/>
      <c r="D66" s="42"/>
      <c r="E66" s="42"/>
      <c r="F66" s="42"/>
      <c r="G66" s="42"/>
      <c r="H66" s="42"/>
      <c r="I66" s="43">
        <f>SUM(I7:I63)</f>
        <v>166400</v>
      </c>
      <c r="J66" s="43">
        <f>SUM(J7:J63)</f>
        <v>432293.62000000005</v>
      </c>
      <c r="K66" s="43">
        <f>SUM(K7:K63)</f>
        <v>6565.5099999999966</v>
      </c>
      <c r="L66" s="43">
        <f t="shared" ref="L66:AA66" si="9">SUM(L7:L62)</f>
        <v>0</v>
      </c>
      <c r="M66" s="43">
        <f t="shared" si="9"/>
        <v>0</v>
      </c>
      <c r="N66" s="43">
        <f>SUM(N7:N63)</f>
        <v>2528.4000000000024</v>
      </c>
      <c r="O66" s="43">
        <f t="shared" si="9"/>
        <v>600134.89999999991</v>
      </c>
      <c r="P66" s="43">
        <f t="shared" si="9"/>
        <v>366.66</v>
      </c>
      <c r="Q66" s="43">
        <f>SUM(Q7:Q62)</f>
        <v>117.81</v>
      </c>
      <c r="R66" s="43">
        <f t="shared" si="9"/>
        <v>0</v>
      </c>
      <c r="S66" s="43">
        <f t="shared" si="9"/>
        <v>0</v>
      </c>
      <c r="T66" s="43">
        <f t="shared" si="9"/>
        <v>479.28</v>
      </c>
      <c r="U66" s="43">
        <f>SUM(U7:U63)</f>
        <v>9726.09</v>
      </c>
      <c r="V66" s="43">
        <f t="shared" si="9"/>
        <v>589748.85</v>
      </c>
      <c r="W66" s="43">
        <f t="shared" si="9"/>
        <v>52628.071000000004</v>
      </c>
      <c r="X66" s="43">
        <f t="shared" si="9"/>
        <v>537120.77899999998</v>
      </c>
      <c r="Y66" s="43">
        <f t="shared" si="9"/>
        <v>7385.4190000000008</v>
      </c>
      <c r="Z66" s="43">
        <f t="shared" si="9"/>
        <v>1330.7295999999983</v>
      </c>
      <c r="AA66" s="43">
        <f t="shared" si="9"/>
        <v>608851.0486000001</v>
      </c>
      <c r="AB66" s="56"/>
      <c r="AC66" s="56"/>
      <c r="AD66" s="27"/>
    </row>
    <row r="67" spans="1:34" ht="16.5" thickTop="1" x14ac:dyDescent="0.25">
      <c r="AB67" s="56"/>
      <c r="AC67" s="56"/>
      <c r="AD67" s="27"/>
    </row>
    <row r="68" spans="1:34" x14ac:dyDescent="0.25">
      <c r="A68" s="217" t="s">
        <v>303</v>
      </c>
      <c r="B68" s="217"/>
      <c r="W68" s="14">
        <f>+W66-W67</f>
        <v>52628.071000000004</v>
      </c>
    </row>
    <row r="69" spans="1:34" x14ac:dyDescent="0.25">
      <c r="A69" s="37"/>
      <c r="B69" s="17" t="s">
        <v>304</v>
      </c>
      <c r="C69" s="31"/>
      <c r="D69" s="17"/>
      <c r="E69" s="17"/>
      <c r="F69" s="17"/>
      <c r="G69" s="17"/>
      <c r="H69" s="17"/>
      <c r="I69" s="19">
        <v>1750</v>
      </c>
      <c r="J69" s="19">
        <v>12045.8</v>
      </c>
      <c r="K69" s="19"/>
      <c r="L69" s="19"/>
      <c r="M69" s="19"/>
      <c r="N69" s="19"/>
      <c r="O69" s="21">
        <f>SUM(I69:N69)</f>
        <v>13795.8</v>
      </c>
      <c r="P69" s="22"/>
      <c r="Q69" s="23"/>
      <c r="R69" s="23"/>
      <c r="S69" s="23"/>
      <c r="T69" s="23"/>
      <c r="U69" s="23"/>
      <c r="V69" s="21">
        <f>+O69-P69</f>
        <v>13795.8</v>
      </c>
      <c r="W69" s="25">
        <f>+V69*0.05</f>
        <v>689.79</v>
      </c>
      <c r="X69" s="21">
        <f>+V69-R69-U69</f>
        <v>13795.8</v>
      </c>
      <c r="Y69" s="26">
        <f>IF(V69&lt;3000,V69*0.1,0)</f>
        <v>0</v>
      </c>
      <c r="Z69" s="25">
        <v>0</v>
      </c>
      <c r="AA69" s="21">
        <f>+V69+Y69+Z69</f>
        <v>13795.8</v>
      </c>
    </row>
    <row r="70" spans="1:34" x14ac:dyDescent="0.25">
      <c r="A70" s="37"/>
      <c r="B70" s="31"/>
      <c r="C70" s="31"/>
      <c r="D70" s="31"/>
      <c r="E70" s="31"/>
      <c r="F70" s="31"/>
      <c r="G70" s="31"/>
      <c r="H70" s="31"/>
      <c r="I70" s="32"/>
      <c r="J70" s="32"/>
      <c r="K70" s="32"/>
      <c r="L70" s="32"/>
      <c r="M70" s="32"/>
      <c r="N70" s="32"/>
      <c r="O70" s="21">
        <f>SUM(I70:N70)</f>
        <v>0</v>
      </c>
      <c r="P70" s="22"/>
      <c r="Q70" s="23"/>
      <c r="R70" s="23"/>
      <c r="S70" s="23"/>
      <c r="T70" s="23"/>
      <c r="U70" s="23"/>
      <c r="V70" s="21">
        <f>+O70-P70</f>
        <v>0</v>
      </c>
      <c r="W70" s="25">
        <f>+V70*0.05</f>
        <v>0</v>
      </c>
      <c r="X70" s="21">
        <f>+V70-R70-U70</f>
        <v>0</v>
      </c>
      <c r="Y70" s="26">
        <f>IF(V70&lt;3000,V70*0.1,0)</f>
        <v>0</v>
      </c>
      <c r="Z70" s="25">
        <v>0</v>
      </c>
      <c r="AA70" s="21">
        <f>+V70+Y70+Z70</f>
        <v>0</v>
      </c>
    </row>
    <row r="71" spans="1:34" x14ac:dyDescent="0.25">
      <c r="AA71" s="15">
        <f>SUM(AA69:AA70)</f>
        <v>13795.8</v>
      </c>
    </row>
    <row r="72" spans="1:34" x14ac:dyDescent="0.25">
      <c r="B72" s="44" t="s">
        <v>269</v>
      </c>
      <c r="C72" s="44"/>
      <c r="AA72" s="15">
        <f>+AA71*0.16</f>
        <v>2207.328</v>
      </c>
    </row>
    <row r="73" spans="1:34" x14ac:dyDescent="0.25">
      <c r="B73" s="44"/>
      <c r="C73" s="44"/>
      <c r="AA73" s="15">
        <f>+AA71+AA72</f>
        <v>16003.127999999999</v>
      </c>
    </row>
    <row r="74" spans="1:34" x14ac:dyDescent="0.25">
      <c r="B74" s="44"/>
      <c r="C74" s="44"/>
    </row>
    <row r="75" spans="1:34" x14ac:dyDescent="0.25">
      <c r="B75" s="44" t="s">
        <v>270</v>
      </c>
      <c r="C75" s="44"/>
      <c r="AA75" s="15">
        <f>+AA68+AA73</f>
        <v>16003.127999999999</v>
      </c>
    </row>
    <row r="82" spans="1:32" x14ac:dyDescent="0.25">
      <c r="A82" s="29" t="s">
        <v>271</v>
      </c>
      <c r="B82" s="14"/>
    </row>
    <row r="83" spans="1:32" x14ac:dyDescent="0.25">
      <c r="A83" s="29" t="s">
        <v>272</v>
      </c>
      <c r="B83" s="14"/>
    </row>
    <row r="84" spans="1:32" x14ac:dyDescent="0.25">
      <c r="A84" s="29" t="s">
        <v>273</v>
      </c>
      <c r="B84" s="14"/>
    </row>
    <row r="85" spans="1:32" x14ac:dyDescent="0.25">
      <c r="A85" s="29" t="s">
        <v>274</v>
      </c>
      <c r="B85" s="14"/>
    </row>
    <row r="86" spans="1:32" x14ac:dyDescent="0.25">
      <c r="A86" s="29" t="s">
        <v>275</v>
      </c>
      <c r="B86" s="14"/>
    </row>
    <row r="87" spans="1:32" x14ac:dyDescent="0.25">
      <c r="A87" s="29" t="s">
        <v>276</v>
      </c>
      <c r="B87" s="14"/>
    </row>
    <row r="94" spans="1:32" x14ac:dyDescent="0.25">
      <c r="A94" s="17" t="s">
        <v>236</v>
      </c>
      <c r="B94" s="17" t="s">
        <v>298</v>
      </c>
      <c r="C94" s="18" t="s">
        <v>84</v>
      </c>
      <c r="D94" s="17" t="s">
        <v>299</v>
      </c>
      <c r="E94" s="17" t="s">
        <v>194</v>
      </c>
      <c r="F94" s="17"/>
      <c r="G94" s="19">
        <v>1237.2399999999998</v>
      </c>
      <c r="H94" s="17">
        <v>4762.76</v>
      </c>
      <c r="I94" s="19">
        <f>+G94+H94</f>
        <v>6000</v>
      </c>
      <c r="J94" s="19"/>
      <c r="K94" s="19">
        <v>0</v>
      </c>
      <c r="L94" s="19"/>
      <c r="M94" s="19"/>
      <c r="N94" s="20">
        <v>45.15</v>
      </c>
      <c r="O94" s="21">
        <f>SUM(I94:M94)-N94</f>
        <v>5954.85</v>
      </c>
      <c r="P94" s="22"/>
      <c r="Q94" s="23"/>
      <c r="R94" s="23"/>
      <c r="S94" s="23"/>
      <c r="T94" s="24"/>
      <c r="U94" s="24">
        <v>1014.46</v>
      </c>
      <c r="V94" s="21">
        <f>+O94-SUM(P94:U94)</f>
        <v>4940.3900000000003</v>
      </c>
      <c r="W94" s="25">
        <f>IF(O94&gt;4500,O94*0.1,0)</f>
        <v>595.48500000000001</v>
      </c>
      <c r="X94" s="21">
        <f>+V94-W94</f>
        <v>4344.9050000000007</v>
      </c>
      <c r="Y94" s="26">
        <f>IF(O94&lt;4500,O94*0.1,0)</f>
        <v>0</v>
      </c>
      <c r="Z94" s="25">
        <f>G94*0.02</f>
        <v>24.744799999999998</v>
      </c>
      <c r="AA94" s="21">
        <f>+O94+Y94+Z94</f>
        <v>5979.5948000000008</v>
      </c>
      <c r="AB94" s="56">
        <v>1237.2</v>
      </c>
      <c r="AC94" s="56">
        <v>3148.34</v>
      </c>
      <c r="AD94" s="57">
        <f>+AB94+AC94-X94</f>
        <v>40.634999999999309</v>
      </c>
      <c r="AE94" s="27"/>
      <c r="AF94" s="27"/>
    </row>
    <row r="99" spans="9:27" x14ac:dyDescent="0.25"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</row>
    <row r="100" spans="9:27" x14ac:dyDescent="0.25"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</row>
    <row r="101" spans="9:27" x14ac:dyDescent="0.25"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</row>
    <row r="102" spans="9:27" x14ac:dyDescent="0.25"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</row>
    <row r="103" spans="9:27" x14ac:dyDescent="0.25"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</row>
    <row r="104" spans="9:27" x14ac:dyDescent="0.25"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</row>
    <row r="105" spans="9:27" x14ac:dyDescent="0.25"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</row>
    <row r="106" spans="9:27" x14ac:dyDescent="0.25"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</row>
    <row r="107" spans="9:27" x14ac:dyDescent="0.25"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</row>
    <row r="108" spans="9:27" x14ac:dyDescent="0.25"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</row>
    <row r="109" spans="9:27" x14ac:dyDescent="0.25"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</row>
    <row r="110" spans="9:27" x14ac:dyDescent="0.25"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</row>
    <row r="111" spans="9:27" x14ac:dyDescent="0.25"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</row>
    <row r="112" spans="9:27" x14ac:dyDescent="0.25"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</row>
    <row r="113" spans="9:27" x14ac:dyDescent="0.25"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</row>
    <row r="114" spans="9:27" x14ac:dyDescent="0.25"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</row>
    <row r="115" spans="9:27" x14ac:dyDescent="0.25"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</row>
    <row r="116" spans="9:27" x14ac:dyDescent="0.25"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</row>
    <row r="117" spans="9:27" x14ac:dyDescent="0.25"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</row>
    <row r="118" spans="9:27" x14ac:dyDescent="0.25"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</row>
    <row r="119" spans="9:27" x14ac:dyDescent="0.25"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</row>
    <row r="120" spans="9:27" x14ac:dyDescent="0.25"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</row>
    <row r="121" spans="9:27" x14ac:dyDescent="0.25"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</row>
    <row r="122" spans="9:27" x14ac:dyDescent="0.25"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</row>
    <row r="123" spans="9:27" x14ac:dyDescent="0.25"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</row>
    <row r="124" spans="9:27" x14ac:dyDescent="0.25"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</row>
    <row r="125" spans="9:27" x14ac:dyDescent="0.25"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</row>
    <row r="126" spans="9:27" x14ac:dyDescent="0.25"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</row>
    <row r="127" spans="9:27" x14ac:dyDescent="0.25"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</row>
    <row r="128" spans="9:27" x14ac:dyDescent="0.25"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</row>
    <row r="129" spans="9:27" x14ac:dyDescent="0.25"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</row>
    <row r="130" spans="9:27" x14ac:dyDescent="0.25"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</row>
    <row r="131" spans="9:27" x14ac:dyDescent="0.25"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</row>
    <row r="132" spans="9:27" x14ac:dyDescent="0.25"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</row>
    <row r="133" spans="9:27" x14ac:dyDescent="0.25"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</row>
    <row r="134" spans="9:27" x14ac:dyDescent="0.25"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</row>
    <row r="135" spans="9:27" x14ac:dyDescent="0.25"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</row>
    <row r="136" spans="9:27" x14ac:dyDescent="0.25"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</row>
    <row r="137" spans="9:27" x14ac:dyDescent="0.25"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</row>
    <row r="138" spans="9:27" x14ac:dyDescent="0.25"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</row>
    <row r="139" spans="9:27" x14ac:dyDescent="0.25"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</row>
    <row r="140" spans="9:27" x14ac:dyDescent="0.25"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</row>
    <row r="141" spans="9:27" x14ac:dyDescent="0.25"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</row>
    <row r="142" spans="9:27" x14ac:dyDescent="0.25"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</row>
    <row r="143" spans="9:27" x14ac:dyDescent="0.25"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</row>
    <row r="144" spans="9:27" x14ac:dyDescent="0.25"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</row>
    <row r="145" spans="9:27" x14ac:dyDescent="0.25"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</row>
    <row r="146" spans="9:27" x14ac:dyDescent="0.25"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</row>
    <row r="147" spans="9:27" x14ac:dyDescent="0.25"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</row>
    <row r="148" spans="9:27" x14ac:dyDescent="0.25"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</row>
    <row r="149" spans="9:27" x14ac:dyDescent="0.25"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</row>
    <row r="150" spans="9:27" x14ac:dyDescent="0.25"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</row>
    <row r="151" spans="9:27" x14ac:dyDescent="0.25"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</row>
    <row r="152" spans="9:27" x14ac:dyDescent="0.25"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</row>
    <row r="153" spans="9:27" x14ac:dyDescent="0.25"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</row>
    <row r="154" spans="9:27" x14ac:dyDescent="0.25"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</row>
    <row r="155" spans="9:27" x14ac:dyDescent="0.25"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</row>
    <row r="156" spans="9:27" x14ac:dyDescent="0.25"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</row>
    <row r="157" spans="9:27" x14ac:dyDescent="0.25"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</row>
    <row r="158" spans="9:27" x14ac:dyDescent="0.25"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</row>
    <row r="159" spans="9:27" x14ac:dyDescent="0.25"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</row>
    <row r="160" spans="9:27" x14ac:dyDescent="0.25"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</row>
    <row r="161" spans="9:27" x14ac:dyDescent="0.25"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</row>
    <row r="162" spans="9:27" x14ac:dyDescent="0.25"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</row>
    <row r="163" spans="9:27" x14ac:dyDescent="0.25"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</row>
    <row r="164" spans="9:27" x14ac:dyDescent="0.25"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</row>
    <row r="165" spans="9:27" x14ac:dyDescent="0.25"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</row>
    <row r="166" spans="9:27" x14ac:dyDescent="0.25"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</row>
    <row r="167" spans="9:27" x14ac:dyDescent="0.25"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</row>
    <row r="168" spans="9:27" x14ac:dyDescent="0.25"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</row>
    <row r="169" spans="9:27" x14ac:dyDescent="0.25"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</row>
    <row r="170" spans="9:27" x14ac:dyDescent="0.25"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</row>
    <row r="171" spans="9:27" x14ac:dyDescent="0.25"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</row>
    <row r="172" spans="9:27" x14ac:dyDescent="0.25"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</row>
    <row r="173" spans="9:27" x14ac:dyDescent="0.25"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</row>
    <row r="174" spans="9:27" x14ac:dyDescent="0.25"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</row>
    <row r="175" spans="9:27" x14ac:dyDescent="0.25"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</row>
    <row r="176" spans="9:27" x14ac:dyDescent="0.25"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</row>
    <row r="177" spans="9:27" x14ac:dyDescent="0.25"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</row>
    <row r="178" spans="9:27" x14ac:dyDescent="0.25"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</row>
    <row r="179" spans="9:27" x14ac:dyDescent="0.25"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</row>
    <row r="180" spans="9:27" x14ac:dyDescent="0.25"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</row>
    <row r="181" spans="9:27" x14ac:dyDescent="0.25"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</row>
    <row r="182" spans="9:27" x14ac:dyDescent="0.25"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</row>
    <row r="183" spans="9:27" x14ac:dyDescent="0.25"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</row>
    <row r="184" spans="9:27" x14ac:dyDescent="0.25"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</row>
    <row r="185" spans="9:27" x14ac:dyDescent="0.25"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</row>
    <row r="186" spans="9:27" x14ac:dyDescent="0.25"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</row>
    <row r="187" spans="9:27" x14ac:dyDescent="0.25"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</row>
    <row r="188" spans="9:27" x14ac:dyDescent="0.25"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</row>
    <row r="189" spans="9:27" x14ac:dyDescent="0.25"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</row>
    <row r="190" spans="9:27" x14ac:dyDescent="0.25"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</row>
    <row r="191" spans="9:27" x14ac:dyDescent="0.25"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</row>
    <row r="192" spans="9:27" x14ac:dyDescent="0.25"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</row>
    <row r="193" spans="9:27" x14ac:dyDescent="0.25"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</row>
    <row r="194" spans="9:27" x14ac:dyDescent="0.25"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</row>
    <row r="195" spans="9:27" x14ac:dyDescent="0.25"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</row>
    <row r="196" spans="9:27" x14ac:dyDescent="0.25"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</row>
    <row r="197" spans="9:27" x14ac:dyDescent="0.25"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</row>
    <row r="198" spans="9:27" x14ac:dyDescent="0.25"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</row>
    <row r="199" spans="9:27" x14ac:dyDescent="0.25"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</row>
    <row r="200" spans="9:27" x14ac:dyDescent="0.25"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</row>
    <row r="201" spans="9:27" x14ac:dyDescent="0.25"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</row>
    <row r="202" spans="9:27" x14ac:dyDescent="0.25"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</row>
    <row r="203" spans="9:27" x14ac:dyDescent="0.25"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</row>
    <row r="204" spans="9:27" x14ac:dyDescent="0.25"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</row>
    <row r="205" spans="9:27" x14ac:dyDescent="0.25"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</row>
    <row r="206" spans="9:27" x14ac:dyDescent="0.25"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</row>
    <row r="207" spans="9:27" x14ac:dyDescent="0.25"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</row>
    <row r="208" spans="9:27" x14ac:dyDescent="0.25"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</row>
    <row r="209" spans="9:27" x14ac:dyDescent="0.25"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</row>
    <row r="210" spans="9:27" x14ac:dyDescent="0.25"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</row>
    <row r="211" spans="9:27" x14ac:dyDescent="0.25"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</row>
    <row r="212" spans="9:27" x14ac:dyDescent="0.25"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</row>
    <row r="213" spans="9:27" x14ac:dyDescent="0.25"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</row>
    <row r="214" spans="9:27" x14ac:dyDescent="0.25"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</row>
    <row r="215" spans="9:27" x14ac:dyDescent="0.25"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</row>
    <row r="216" spans="9:27" x14ac:dyDescent="0.25"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</row>
    <row r="217" spans="9:27" x14ac:dyDescent="0.25"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</row>
    <row r="218" spans="9:27" x14ac:dyDescent="0.25"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</row>
    <row r="219" spans="9:27" x14ac:dyDescent="0.25"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</row>
    <row r="220" spans="9:27" x14ac:dyDescent="0.25"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</row>
    <row r="221" spans="9:27" x14ac:dyDescent="0.25"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</row>
    <row r="222" spans="9:27" x14ac:dyDescent="0.25"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</row>
    <row r="223" spans="9:27" x14ac:dyDescent="0.25"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</row>
    <row r="224" spans="9:27" x14ac:dyDescent="0.25"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</row>
    <row r="225" spans="9:27" x14ac:dyDescent="0.25"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</row>
    <row r="226" spans="9:27" x14ac:dyDescent="0.25"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</row>
    <row r="227" spans="9:27" x14ac:dyDescent="0.25"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</row>
    <row r="228" spans="9:27" x14ac:dyDescent="0.25"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</row>
    <row r="229" spans="9:27" x14ac:dyDescent="0.25"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</row>
    <row r="230" spans="9:27" x14ac:dyDescent="0.25"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</row>
    <row r="231" spans="9:27" x14ac:dyDescent="0.25"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</row>
    <row r="232" spans="9:27" x14ac:dyDescent="0.25"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</row>
    <row r="233" spans="9:27" x14ac:dyDescent="0.25"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</row>
    <row r="234" spans="9:27" x14ac:dyDescent="0.25"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</row>
    <row r="235" spans="9:27" x14ac:dyDescent="0.25"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</row>
    <row r="236" spans="9:27" x14ac:dyDescent="0.25"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</row>
    <row r="237" spans="9:27" x14ac:dyDescent="0.25"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</row>
    <row r="238" spans="9:27" x14ac:dyDescent="0.25"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</row>
    <row r="239" spans="9:27" x14ac:dyDescent="0.25"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</row>
    <row r="240" spans="9:27" x14ac:dyDescent="0.25"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</row>
    <row r="241" spans="9:27" x14ac:dyDescent="0.25"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</row>
    <row r="242" spans="9:27" x14ac:dyDescent="0.25"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</row>
    <row r="243" spans="9:27" x14ac:dyDescent="0.25"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</row>
    <row r="244" spans="9:27" x14ac:dyDescent="0.25"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</row>
    <row r="245" spans="9:27" x14ac:dyDescent="0.25"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</row>
    <row r="246" spans="9:27" x14ac:dyDescent="0.25"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</row>
    <row r="247" spans="9:27" x14ac:dyDescent="0.25"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</row>
    <row r="248" spans="9:27" x14ac:dyDescent="0.25"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</row>
    <row r="249" spans="9:27" x14ac:dyDescent="0.25"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</row>
    <row r="250" spans="9:27" x14ac:dyDescent="0.25"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</row>
    <row r="251" spans="9:27" x14ac:dyDescent="0.25"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</row>
    <row r="252" spans="9:27" x14ac:dyDescent="0.25"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</row>
    <row r="253" spans="9:27" x14ac:dyDescent="0.25"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</row>
    <row r="254" spans="9:27" x14ac:dyDescent="0.25"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</row>
    <row r="255" spans="9:27" x14ac:dyDescent="0.25"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</row>
    <row r="256" spans="9:27" x14ac:dyDescent="0.25"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</row>
    <row r="257" spans="9:27" x14ac:dyDescent="0.25"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</row>
    <row r="258" spans="9:27" x14ac:dyDescent="0.25"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</row>
    <row r="259" spans="9:27" x14ac:dyDescent="0.25"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</row>
    <row r="260" spans="9:27" x14ac:dyDescent="0.25"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</row>
    <row r="261" spans="9:27" x14ac:dyDescent="0.25"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</row>
    <row r="262" spans="9:27" x14ac:dyDescent="0.25"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</row>
    <row r="263" spans="9:27" x14ac:dyDescent="0.25"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</row>
    <row r="264" spans="9:27" x14ac:dyDescent="0.25"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</row>
    <row r="265" spans="9:27" x14ac:dyDescent="0.25"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</row>
    <row r="266" spans="9:27" x14ac:dyDescent="0.25"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</row>
    <row r="267" spans="9:27" x14ac:dyDescent="0.25"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</row>
    <row r="268" spans="9:27" x14ac:dyDescent="0.25"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</row>
    <row r="269" spans="9:27" x14ac:dyDescent="0.25"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</row>
    <row r="270" spans="9:27" x14ac:dyDescent="0.25"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</row>
    <row r="271" spans="9:27" x14ac:dyDescent="0.25"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</row>
    <row r="272" spans="9:27" x14ac:dyDescent="0.25"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</row>
    <row r="273" spans="9:27" x14ac:dyDescent="0.25"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</row>
    <row r="274" spans="9:27" x14ac:dyDescent="0.25"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</row>
    <row r="275" spans="9:27" x14ac:dyDescent="0.25"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</row>
    <row r="276" spans="9:27" x14ac:dyDescent="0.25"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</row>
    <row r="277" spans="9:27" x14ac:dyDescent="0.25"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</row>
    <row r="278" spans="9:27" x14ac:dyDescent="0.25"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</row>
    <row r="279" spans="9:27" x14ac:dyDescent="0.25"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</row>
    <row r="280" spans="9:27" x14ac:dyDescent="0.25"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</row>
    <row r="281" spans="9:27" x14ac:dyDescent="0.25"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</row>
    <row r="282" spans="9:27" x14ac:dyDescent="0.25"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</row>
    <row r="283" spans="9:27" x14ac:dyDescent="0.25"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</row>
    <row r="284" spans="9:27" x14ac:dyDescent="0.25"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</row>
    <row r="285" spans="9:27" x14ac:dyDescent="0.25"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</row>
    <row r="286" spans="9:27" x14ac:dyDescent="0.25"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</row>
    <row r="287" spans="9:27" x14ac:dyDescent="0.25"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</row>
    <row r="288" spans="9:27" x14ac:dyDescent="0.25"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</row>
    <row r="289" spans="9:27" x14ac:dyDescent="0.25"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</row>
    <row r="290" spans="9:27" x14ac:dyDescent="0.25"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</row>
    <row r="291" spans="9:27" x14ac:dyDescent="0.25"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</row>
    <row r="292" spans="9:27" x14ac:dyDescent="0.25"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</row>
    <row r="293" spans="9:27" x14ac:dyDescent="0.25"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</row>
    <row r="294" spans="9:27" x14ac:dyDescent="0.25"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</row>
    <row r="295" spans="9:27" x14ac:dyDescent="0.25"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</row>
    <row r="296" spans="9:27" x14ac:dyDescent="0.25"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</row>
    <row r="297" spans="9:27" x14ac:dyDescent="0.25"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</row>
    <row r="298" spans="9:27" x14ac:dyDescent="0.25"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</row>
    <row r="299" spans="9:27" x14ac:dyDescent="0.25"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</row>
    <row r="300" spans="9:27" x14ac:dyDescent="0.25"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</row>
    <row r="301" spans="9:27" x14ac:dyDescent="0.25"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</row>
    <row r="302" spans="9:27" x14ac:dyDescent="0.25"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</row>
    <row r="303" spans="9:27" x14ac:dyDescent="0.25"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</row>
    <row r="304" spans="9:27" x14ac:dyDescent="0.25"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</row>
    <row r="305" spans="9:27" x14ac:dyDescent="0.25"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</row>
    <row r="306" spans="9:27" x14ac:dyDescent="0.25"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</row>
    <row r="307" spans="9:27" x14ac:dyDescent="0.25"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</row>
    <row r="308" spans="9:27" x14ac:dyDescent="0.25"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</row>
    <row r="309" spans="9:27" x14ac:dyDescent="0.25"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</row>
    <row r="310" spans="9:27" x14ac:dyDescent="0.25"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</row>
    <row r="311" spans="9:27" x14ac:dyDescent="0.25"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</row>
    <row r="312" spans="9:27" x14ac:dyDescent="0.25"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</row>
    <row r="313" spans="9:27" x14ac:dyDescent="0.25"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</row>
    <row r="314" spans="9:27" x14ac:dyDescent="0.25"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</row>
  </sheetData>
  <mergeCells count="26">
    <mergeCell ref="Z5:Z6"/>
    <mergeCell ref="AA5:AA6"/>
    <mergeCell ref="AB5:AC5"/>
    <mergeCell ref="AD5:AD6"/>
    <mergeCell ref="A68:B68"/>
    <mergeCell ref="O5:O6"/>
    <mergeCell ref="A5:A6"/>
    <mergeCell ref="B5:B6"/>
    <mergeCell ref="C5:C6"/>
    <mergeCell ref="D5:D6"/>
    <mergeCell ref="E5:E6"/>
    <mergeCell ref="F5:F6"/>
    <mergeCell ref="V5:V6"/>
    <mergeCell ref="W5:W6"/>
    <mergeCell ref="X5:X6"/>
    <mergeCell ref="Y5:Y6"/>
    <mergeCell ref="U5:U6"/>
    <mergeCell ref="I5:I6"/>
    <mergeCell ref="L5:L6"/>
    <mergeCell ref="M5:M6"/>
    <mergeCell ref="N5:N6"/>
    <mergeCell ref="P5:P6"/>
    <mergeCell ref="Q5:Q6"/>
    <mergeCell ref="R5:R6"/>
    <mergeCell ref="S5:S6"/>
    <mergeCell ref="T5:T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BL316"/>
  <sheetViews>
    <sheetView workbookViewId="0">
      <selection activeCell="R17" sqref="R17"/>
    </sheetView>
  </sheetViews>
  <sheetFormatPr baseColWidth="10" defaultRowHeight="15" x14ac:dyDescent="0.25"/>
  <cols>
    <col min="1" max="1" width="12.28515625" style="92" customWidth="1"/>
    <col min="2" max="2" width="30.7109375" style="76" customWidth="1"/>
    <col min="3" max="3" width="13" style="76" bestFit="1" customWidth="1"/>
    <col min="4" max="4" width="13" style="76" customWidth="1"/>
    <col min="5" max="5" width="12.42578125" style="76" bestFit="1" customWidth="1"/>
    <col min="6" max="7" width="11.28515625" style="76" hidden="1" customWidth="1"/>
    <col min="8" max="9" width="12.42578125" style="76" hidden="1" customWidth="1"/>
    <col min="10" max="10" width="8.42578125" style="76" hidden="1" customWidth="1"/>
    <col min="11" max="11" width="9.7109375" style="76" hidden="1" customWidth="1"/>
    <col min="12" max="12" width="8.42578125" style="76" hidden="1" customWidth="1"/>
    <col min="13" max="13" width="10.140625" style="88" hidden="1" customWidth="1"/>
    <col min="14" max="16" width="13" style="76" hidden="1" customWidth="1"/>
    <col min="17" max="17" width="13" style="76" customWidth="1"/>
    <col min="18" max="18" width="14.42578125" style="76" bestFit="1" customWidth="1"/>
    <col min="19" max="19" width="12.85546875" style="76" customWidth="1"/>
    <col min="20" max="20" width="10.140625" style="76" customWidth="1"/>
    <col min="21" max="23" width="13" style="76" customWidth="1"/>
    <col min="24" max="24" width="28.7109375" style="76" customWidth="1"/>
    <col min="25" max="25" width="45.140625" style="76" customWidth="1"/>
    <col min="26" max="26" width="8.85546875" style="76" customWidth="1"/>
    <col min="27" max="27" width="36" style="76" customWidth="1"/>
    <col min="28" max="28" width="13" style="76" customWidth="1"/>
    <col min="29" max="29" width="11.7109375" style="76" customWidth="1"/>
    <col min="30" max="30" width="17.140625" style="76" customWidth="1"/>
    <col min="31" max="31" width="11.7109375" style="76" customWidth="1"/>
    <col min="32" max="34" width="13.85546875" style="88" customWidth="1"/>
    <col min="35" max="37" width="13.5703125" style="88" customWidth="1"/>
    <col min="38" max="38" width="17" style="89" customWidth="1"/>
    <col min="39" max="44" width="13.5703125" style="88" customWidth="1"/>
    <col min="45" max="45" width="16.7109375" style="89" customWidth="1"/>
    <col min="46" max="46" width="16.7109375" style="88" customWidth="1"/>
    <col min="47" max="47" width="15.42578125" style="89" customWidth="1"/>
    <col min="48" max="49" width="13.5703125" style="88" customWidth="1"/>
    <col min="50" max="50" width="15.42578125" style="89" customWidth="1"/>
    <col min="51" max="52" width="15.140625" style="75" customWidth="1"/>
    <col min="53" max="53" width="15.140625" style="76" customWidth="1"/>
    <col min="54" max="54" width="57" style="76" customWidth="1"/>
    <col min="55" max="55" width="19.5703125" style="88"/>
    <col min="56" max="59" width="19.5703125" style="76"/>
    <col min="60" max="16384" width="11.42578125" style="76"/>
  </cols>
  <sheetData>
    <row r="1" spans="1:59" ht="18" customHeight="1" x14ac:dyDescent="0.25">
      <c r="A1" s="87" t="s">
        <v>0</v>
      </c>
      <c r="B1" s="219" t="s">
        <v>120</v>
      </c>
      <c r="C1" s="220"/>
      <c r="D1" s="74"/>
      <c r="E1" s="74"/>
      <c r="F1" s="74"/>
      <c r="G1" s="74"/>
      <c r="H1" s="74"/>
      <c r="I1" s="74"/>
      <c r="J1" s="74"/>
      <c r="K1" s="74"/>
      <c r="L1" s="74"/>
      <c r="M1" s="2"/>
      <c r="N1" s="74"/>
      <c r="O1" s="74"/>
      <c r="P1" s="74"/>
      <c r="Q1" s="74"/>
    </row>
    <row r="2" spans="1:59" ht="24.95" customHeight="1" x14ac:dyDescent="0.25">
      <c r="A2" s="90" t="s">
        <v>1</v>
      </c>
      <c r="B2" s="9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1"/>
      <c r="O2" s="1"/>
      <c r="P2" s="1"/>
      <c r="Q2" s="1"/>
    </row>
    <row r="3" spans="1:59" x14ac:dyDescent="0.25">
      <c r="B3" s="219" t="s">
        <v>3</v>
      </c>
      <c r="C3" s="220"/>
      <c r="D3" s="74"/>
      <c r="E3" s="74"/>
      <c r="F3" s="74"/>
      <c r="G3" s="74"/>
      <c r="H3" s="74"/>
      <c r="I3" s="74"/>
      <c r="J3" s="74"/>
      <c r="K3" s="74"/>
      <c r="L3" s="74"/>
      <c r="M3" s="2"/>
      <c r="N3" s="74"/>
      <c r="O3" s="74"/>
      <c r="P3" s="74"/>
      <c r="Q3" s="74"/>
    </row>
    <row r="4" spans="1:59" x14ac:dyDescent="0.25">
      <c r="B4" s="76" t="s">
        <v>310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2"/>
      <c r="N4" s="74"/>
      <c r="O4" s="74"/>
      <c r="P4" s="74"/>
      <c r="Q4" s="74"/>
      <c r="X4" s="93" t="s">
        <v>165</v>
      </c>
      <c r="Y4" s="93"/>
      <c r="Z4" s="93"/>
      <c r="AA4" s="94"/>
      <c r="AB4" s="94"/>
      <c r="AC4" s="94"/>
      <c r="AD4" s="94"/>
      <c r="AE4" s="94"/>
      <c r="AF4" s="95"/>
      <c r="AG4" s="95"/>
      <c r="AH4" s="95"/>
      <c r="AI4" s="95"/>
      <c r="AJ4" s="95"/>
      <c r="AK4" s="95"/>
      <c r="AL4" s="96"/>
      <c r="AM4" s="95"/>
      <c r="AN4" s="95"/>
      <c r="AO4" s="95"/>
      <c r="AP4" s="95"/>
      <c r="AQ4" s="95"/>
      <c r="AR4" s="95"/>
      <c r="AS4" s="96"/>
      <c r="AT4" s="95"/>
      <c r="AU4" s="96"/>
      <c r="AV4" s="95"/>
      <c r="AW4" s="95"/>
      <c r="AX4" s="96"/>
      <c r="AY4" s="77"/>
      <c r="AZ4" s="77"/>
      <c r="BA4" s="97"/>
      <c r="BB4" s="97"/>
      <c r="BC4" s="98"/>
      <c r="BD4" s="97"/>
      <c r="BE4" s="97"/>
      <c r="BF4" s="97"/>
      <c r="BG4" s="97"/>
    </row>
    <row r="5" spans="1:59" x14ac:dyDescent="0.25">
      <c r="B5" s="99" t="s">
        <v>281</v>
      </c>
      <c r="X5" s="100" t="s">
        <v>166</v>
      </c>
      <c r="Y5" s="100"/>
      <c r="Z5" s="100"/>
      <c r="AA5" s="101"/>
      <c r="AB5" s="101"/>
      <c r="AC5" s="101"/>
      <c r="AD5" s="101"/>
      <c r="AE5" s="101"/>
      <c r="AF5" s="95"/>
      <c r="AG5" s="95"/>
      <c r="AH5" s="95"/>
      <c r="AI5" s="95"/>
      <c r="AJ5" s="95"/>
      <c r="AK5" s="95"/>
      <c r="AL5" s="96"/>
      <c r="AM5" s="95" t="s">
        <v>167</v>
      </c>
      <c r="AN5" s="95"/>
      <c r="AO5" s="95"/>
      <c r="AP5" s="95"/>
      <c r="AQ5" s="95"/>
      <c r="AR5" s="95"/>
      <c r="AS5" s="96"/>
      <c r="AT5" s="95"/>
      <c r="AU5" s="96"/>
      <c r="AV5" s="95"/>
      <c r="AW5" s="95"/>
      <c r="AX5" s="96"/>
      <c r="AY5" s="77"/>
      <c r="AZ5" s="77"/>
      <c r="BA5" s="97"/>
      <c r="BB5" s="97"/>
      <c r="BC5" s="98"/>
      <c r="BD5" s="97"/>
      <c r="BE5" s="97"/>
      <c r="BF5" s="97"/>
      <c r="BG5" s="97"/>
    </row>
    <row r="6" spans="1:59" x14ac:dyDescent="0.25">
      <c r="B6" s="99" t="s">
        <v>5</v>
      </c>
      <c r="X6" s="102" t="s">
        <v>285</v>
      </c>
      <c r="Y6" s="102"/>
      <c r="Z6" s="102"/>
      <c r="AA6" s="103"/>
      <c r="AB6" s="103"/>
      <c r="AC6" s="103"/>
      <c r="AD6" s="103"/>
      <c r="AE6" s="103"/>
      <c r="AF6" s="95"/>
      <c r="AG6" s="95"/>
      <c r="AH6" s="95"/>
      <c r="AI6" s="95"/>
      <c r="AJ6" s="95"/>
      <c r="AK6" s="95"/>
      <c r="AL6" s="96"/>
      <c r="AM6" s="95"/>
      <c r="AN6" s="95"/>
      <c r="AO6" s="95"/>
      <c r="AP6" s="95"/>
      <c r="AQ6" s="95"/>
      <c r="AR6" s="95"/>
      <c r="AS6" s="96"/>
      <c r="AT6" s="95"/>
      <c r="AU6" s="96"/>
      <c r="AV6" s="95"/>
      <c r="AW6" s="95"/>
      <c r="AX6" s="96"/>
      <c r="AY6" s="77"/>
      <c r="AZ6" s="77"/>
      <c r="BA6" s="97"/>
      <c r="BB6" s="97"/>
      <c r="BC6" s="98"/>
      <c r="BD6" s="97"/>
      <c r="BE6" s="97"/>
      <c r="BF6" s="97"/>
      <c r="BG6" s="97"/>
    </row>
    <row r="7" spans="1:59" x14ac:dyDescent="0.25">
      <c r="C7" s="76" t="s">
        <v>147</v>
      </c>
      <c r="R7" s="228" t="s">
        <v>309</v>
      </c>
      <c r="S7" s="228"/>
      <c r="T7" s="228"/>
      <c r="U7" s="228"/>
      <c r="V7" s="228"/>
      <c r="W7" s="228"/>
      <c r="X7" s="104"/>
      <c r="Y7" s="104"/>
      <c r="Z7" s="104"/>
      <c r="AA7" s="104"/>
      <c r="AB7" s="104"/>
      <c r="AC7" s="104"/>
      <c r="AD7" s="104"/>
      <c r="AE7" s="104"/>
      <c r="BA7" s="104"/>
      <c r="BB7" s="104"/>
      <c r="BC7" s="89"/>
      <c r="BD7" s="104"/>
      <c r="BE7" s="104"/>
      <c r="BF7" s="104"/>
      <c r="BG7" s="104"/>
    </row>
    <row r="8" spans="1:59" s="105" customFormat="1" ht="23.25" customHeight="1" x14ac:dyDescent="0.25">
      <c r="X8" s="221" t="s">
        <v>168</v>
      </c>
      <c r="Y8" s="221" t="s">
        <v>123</v>
      </c>
      <c r="Z8" s="221" t="s">
        <v>169</v>
      </c>
      <c r="AA8" s="221" t="s">
        <v>170</v>
      </c>
      <c r="AB8" s="222" t="s">
        <v>171</v>
      </c>
      <c r="AC8" s="222" t="s">
        <v>172</v>
      </c>
      <c r="AD8" s="106"/>
      <c r="AE8" s="106"/>
      <c r="AF8" s="222" t="s">
        <v>173</v>
      </c>
      <c r="AG8" s="106"/>
      <c r="AH8" s="106"/>
      <c r="AI8" s="222" t="s">
        <v>174</v>
      </c>
      <c r="AJ8" s="222" t="s">
        <v>175</v>
      </c>
      <c r="AK8" s="222" t="s">
        <v>176</v>
      </c>
      <c r="AL8" s="222" t="s">
        <v>177</v>
      </c>
      <c r="AM8" s="222" t="s">
        <v>178</v>
      </c>
      <c r="AN8" s="222" t="s">
        <v>282</v>
      </c>
      <c r="AO8" s="222" t="s">
        <v>179</v>
      </c>
      <c r="AP8" s="222" t="s">
        <v>180</v>
      </c>
      <c r="AQ8" s="222" t="s">
        <v>181</v>
      </c>
      <c r="AR8" s="222" t="s">
        <v>124</v>
      </c>
      <c r="AS8" s="222" t="s">
        <v>182</v>
      </c>
      <c r="AT8" s="222" t="s">
        <v>183</v>
      </c>
      <c r="AU8" s="222" t="s">
        <v>184</v>
      </c>
      <c r="AV8" s="222" t="s">
        <v>185</v>
      </c>
      <c r="AW8" s="222" t="s">
        <v>186</v>
      </c>
      <c r="AX8" s="222" t="s">
        <v>187</v>
      </c>
      <c r="AY8" s="225" t="s">
        <v>286</v>
      </c>
      <c r="AZ8" s="226"/>
      <c r="BA8" s="227" t="s">
        <v>287</v>
      </c>
      <c r="BB8" s="107" t="s">
        <v>288</v>
      </c>
      <c r="BC8" s="108"/>
      <c r="BD8" s="109"/>
      <c r="BE8" s="109"/>
      <c r="BF8" s="109"/>
      <c r="BG8" s="109"/>
    </row>
    <row r="9" spans="1:59" s="80" customFormat="1" ht="15.75" hidden="1" customHeight="1" thickBot="1" x14ac:dyDescent="0.3">
      <c r="A9" s="110" t="s">
        <v>6</v>
      </c>
      <c r="B9" s="111" t="s">
        <v>7</v>
      </c>
      <c r="C9" s="111" t="s">
        <v>146</v>
      </c>
      <c r="D9" s="111" t="s">
        <v>152</v>
      </c>
      <c r="E9" s="111" t="s">
        <v>148</v>
      </c>
      <c r="F9" s="112" t="s">
        <v>279</v>
      </c>
      <c r="G9" s="112" t="s">
        <v>283</v>
      </c>
      <c r="H9" s="112" t="s">
        <v>146</v>
      </c>
      <c r="I9" s="113" t="str">
        <f>+AM8</f>
        <v>Descuentos Cta 254</v>
      </c>
      <c r="J9" s="111" t="s">
        <v>181</v>
      </c>
      <c r="K9" s="111" t="s">
        <v>282</v>
      </c>
      <c r="L9" s="112" t="s">
        <v>280</v>
      </c>
      <c r="M9" s="114" t="s">
        <v>153</v>
      </c>
      <c r="N9" s="111" t="s">
        <v>145</v>
      </c>
      <c r="O9" s="111" t="s">
        <v>278</v>
      </c>
      <c r="P9" s="111" t="s">
        <v>306</v>
      </c>
      <c r="Q9" s="111" t="s">
        <v>307</v>
      </c>
      <c r="R9" s="115" t="s">
        <v>9</v>
      </c>
      <c r="S9" s="115" t="s">
        <v>149</v>
      </c>
      <c r="T9" s="115" t="s">
        <v>150</v>
      </c>
      <c r="U9" s="115" t="s">
        <v>151</v>
      </c>
      <c r="V9" s="115" t="s">
        <v>144</v>
      </c>
      <c r="W9" s="115" t="s">
        <v>308</v>
      </c>
      <c r="X9" s="221"/>
      <c r="Y9" s="221"/>
      <c r="Z9" s="221"/>
      <c r="AA9" s="221"/>
      <c r="AB9" s="223"/>
      <c r="AC9" s="223"/>
      <c r="AD9" s="116" t="s">
        <v>188</v>
      </c>
      <c r="AE9" s="116" t="s">
        <v>189</v>
      </c>
      <c r="AF9" s="223"/>
      <c r="AG9" s="116" t="s">
        <v>148</v>
      </c>
      <c r="AH9" s="116" t="s">
        <v>289</v>
      </c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78" t="s">
        <v>188</v>
      </c>
      <c r="AZ9" s="78" t="s">
        <v>189</v>
      </c>
      <c r="BA9" s="227"/>
      <c r="BB9" s="107"/>
      <c r="BC9" s="108"/>
      <c r="BD9" s="109"/>
      <c r="BE9" s="109"/>
      <c r="BF9" s="109"/>
      <c r="BG9" s="109"/>
    </row>
    <row r="10" spans="1:59" s="80" customFormat="1" hidden="1" x14ac:dyDescent="0.25">
      <c r="A10" s="117" t="s">
        <v>14</v>
      </c>
      <c r="B10" s="80" t="s">
        <v>15</v>
      </c>
      <c r="C10" s="118">
        <f>+AF10</f>
        <v>1200</v>
      </c>
      <c r="D10" s="118">
        <v>145.37389713135775</v>
      </c>
      <c r="E10" s="118">
        <f>+AG10</f>
        <v>1641.9</v>
      </c>
      <c r="F10" s="118"/>
      <c r="G10" s="118"/>
      <c r="H10" s="118">
        <f>SUM(C10:G10)</f>
        <v>2987.2738971313579</v>
      </c>
      <c r="I10" s="118">
        <f>+AM10</f>
        <v>0</v>
      </c>
      <c r="J10" s="119">
        <f>+AQ10</f>
        <v>0</v>
      </c>
      <c r="K10" s="118">
        <f>+AN10</f>
        <v>0</v>
      </c>
      <c r="L10" s="118">
        <f t="shared" ref="L10:L65" si="0">+AO10</f>
        <v>0</v>
      </c>
      <c r="M10" s="118">
        <f>+AK10</f>
        <v>45.15</v>
      </c>
      <c r="N10" s="118">
        <f>+AR10</f>
        <v>0</v>
      </c>
      <c r="O10" s="118">
        <f>+AT10</f>
        <v>0</v>
      </c>
      <c r="P10" s="118">
        <f>SUM(I10:O10)</f>
        <v>45.15</v>
      </c>
      <c r="Q10" s="118">
        <f>+H10-P10</f>
        <v>2942.1238971313578</v>
      </c>
      <c r="R10" s="120">
        <f>+H10-M10</f>
        <v>2942.1238971313578</v>
      </c>
      <c r="S10" s="120">
        <f>+AV10</f>
        <v>299.74799999999999</v>
      </c>
      <c r="T10" s="120">
        <f>+'C&amp;A'!D10*0.02</f>
        <v>21.911999999999999</v>
      </c>
      <c r="U10" s="120">
        <f>+R10+S10+T10</f>
        <v>3263.7838971313577</v>
      </c>
      <c r="V10" s="120">
        <f>+U10*0.16</f>
        <v>522.20542354101724</v>
      </c>
      <c r="W10" s="120">
        <f>+U10+V10</f>
        <v>3785.989320672375</v>
      </c>
      <c r="X10" s="121" t="s">
        <v>190</v>
      </c>
      <c r="Y10" s="121" t="s">
        <v>191</v>
      </c>
      <c r="Z10" s="122" t="s">
        <v>14</v>
      </c>
      <c r="AA10" s="121" t="s">
        <v>122</v>
      </c>
      <c r="AB10" s="121"/>
      <c r="AC10" s="121"/>
      <c r="AD10" s="123">
        <v>1237.2399999999998</v>
      </c>
      <c r="AE10" s="121">
        <v>-37.239999999999782</v>
      </c>
      <c r="AF10" s="123">
        <v>1200</v>
      </c>
      <c r="AG10" s="123">
        <v>1641.9</v>
      </c>
      <c r="AH10" s="123">
        <f t="shared" ref="AH10:AH41" si="1">+D10</f>
        <v>145.37389713135775</v>
      </c>
      <c r="AI10" s="123"/>
      <c r="AJ10" s="123"/>
      <c r="AK10" s="124">
        <v>45.15</v>
      </c>
      <c r="AL10" s="125">
        <f>+AF10+AG10+AH10-AK10</f>
        <v>2942.1238971313578</v>
      </c>
      <c r="AM10" s="123"/>
      <c r="AN10" s="126"/>
      <c r="AO10" s="126"/>
      <c r="AP10" s="126"/>
      <c r="AQ10" s="48"/>
      <c r="AR10" s="48">
        <v>0</v>
      </c>
      <c r="AS10" s="125">
        <v>2997.48</v>
      </c>
      <c r="AT10" s="126">
        <v>0</v>
      </c>
      <c r="AU10" s="125">
        <f>+AL10-AM10-AN10-AO10-AP10-AQ10-AR10-AT10</f>
        <v>2942.1238971313578</v>
      </c>
      <c r="AV10" s="126">
        <v>299.74799999999999</v>
      </c>
      <c r="AW10" s="126">
        <v>24.744799999999998</v>
      </c>
      <c r="AX10" s="125">
        <v>3321.9728</v>
      </c>
      <c r="AY10" s="79">
        <v>1237.2</v>
      </c>
      <c r="AZ10" s="79">
        <v>526.23</v>
      </c>
      <c r="BA10" s="119">
        <v>-1234.05</v>
      </c>
      <c r="BB10" s="119"/>
      <c r="BC10" s="127" t="s">
        <v>314</v>
      </c>
    </row>
    <row r="11" spans="1:59" s="80" customFormat="1" hidden="1" x14ac:dyDescent="0.25">
      <c r="A11" s="117" t="s">
        <v>16</v>
      </c>
      <c r="B11" s="80" t="s">
        <v>17</v>
      </c>
      <c r="C11" s="118">
        <f t="shared" ref="C11:C65" si="2">+AF11</f>
        <v>3500</v>
      </c>
      <c r="D11" s="118">
        <v>0</v>
      </c>
      <c r="E11" s="118">
        <f t="shared" ref="E11:E65" si="3">+AG11</f>
        <v>1777.5</v>
      </c>
      <c r="F11" s="118"/>
      <c r="G11" s="118"/>
      <c r="H11" s="118">
        <f t="shared" ref="H11:H65" si="4">SUM(C11:G11)</f>
        <v>5277.5</v>
      </c>
      <c r="I11" s="118">
        <f t="shared" ref="I11:I65" si="5">+AM11</f>
        <v>0</v>
      </c>
      <c r="J11" s="119">
        <f t="shared" ref="J11:J65" si="6">+AQ11</f>
        <v>0</v>
      </c>
      <c r="K11" s="118">
        <f t="shared" ref="K11:K65" si="7">+AN11</f>
        <v>0</v>
      </c>
      <c r="L11" s="118">
        <f t="shared" si="0"/>
        <v>0</v>
      </c>
      <c r="M11" s="118">
        <f t="shared" ref="M11:M65" si="8">+AK11</f>
        <v>45.15</v>
      </c>
      <c r="N11" s="118">
        <f t="shared" ref="N11:N65" si="9">+AR11</f>
        <v>0</v>
      </c>
      <c r="O11" s="118">
        <f t="shared" ref="O11:O65" si="10">+AT11</f>
        <v>523.23500000000001</v>
      </c>
      <c r="P11" s="118">
        <f t="shared" ref="P11:P65" si="11">SUM(I11:O11)</f>
        <v>568.38499999999999</v>
      </c>
      <c r="Q11" s="118">
        <f t="shared" ref="Q11:Q65" si="12">+H11-P11</f>
        <v>4709.1149999999998</v>
      </c>
      <c r="R11" s="120">
        <f t="shared" ref="R11:R65" si="13">+H11-M11</f>
        <v>5232.3500000000004</v>
      </c>
      <c r="S11" s="120">
        <f t="shared" ref="S11:S65" si="14">+AV11</f>
        <v>0</v>
      </c>
      <c r="T11" s="120">
        <f>+'C&amp;A'!D11*0.02</f>
        <v>21.911999999999999</v>
      </c>
      <c r="U11" s="120">
        <f t="shared" ref="U11:U65" si="15">+R11+S11+T11</f>
        <v>5254.2620000000006</v>
      </c>
      <c r="V11" s="120">
        <f t="shared" ref="V11:V65" si="16">+U11*0.16</f>
        <v>840.6819200000001</v>
      </c>
      <c r="W11" s="120">
        <f t="shared" ref="W11:W65" si="17">+U11+V11</f>
        <v>6094.9439200000006</v>
      </c>
      <c r="X11" s="121" t="s">
        <v>192</v>
      </c>
      <c r="Y11" s="121" t="s">
        <v>126</v>
      </c>
      <c r="Z11" s="122" t="s">
        <v>16</v>
      </c>
      <c r="AA11" s="121" t="s">
        <v>193</v>
      </c>
      <c r="AB11" s="121" t="s">
        <v>194</v>
      </c>
      <c r="AC11" s="121"/>
      <c r="AD11" s="123">
        <v>1237.2399999999998</v>
      </c>
      <c r="AE11" s="121">
        <v>2262.7600000000002</v>
      </c>
      <c r="AF11" s="123">
        <v>3500</v>
      </c>
      <c r="AG11" s="123">
        <v>1777.5</v>
      </c>
      <c r="AH11" s="123">
        <f t="shared" si="1"/>
        <v>0</v>
      </c>
      <c r="AI11" s="123"/>
      <c r="AJ11" s="123"/>
      <c r="AK11" s="124">
        <v>45.15</v>
      </c>
      <c r="AL11" s="125">
        <f t="shared" ref="AL11:AL65" si="18">+AF11+AG11+AH11-AK11</f>
        <v>5232.3500000000004</v>
      </c>
      <c r="AM11" s="123"/>
      <c r="AN11" s="126"/>
      <c r="AO11" s="126"/>
      <c r="AP11" s="126"/>
      <c r="AQ11" s="48"/>
      <c r="AR11" s="48">
        <v>0</v>
      </c>
      <c r="AS11" s="125">
        <v>5232.3500000000004</v>
      </c>
      <c r="AT11" s="126">
        <v>523.23500000000001</v>
      </c>
      <c r="AU11" s="125">
        <f t="shared" ref="AU11:AU65" si="19">+AL11-AM11-AN11-AO11-AP11-AQ11-AR11-AT11</f>
        <v>4709.1150000000007</v>
      </c>
      <c r="AV11" s="126">
        <v>0</v>
      </c>
      <c r="AW11" s="126">
        <v>24.744799999999998</v>
      </c>
      <c r="AX11" s="125">
        <v>5257.0948000000008</v>
      </c>
      <c r="AY11" s="79">
        <v>1237.2</v>
      </c>
      <c r="AZ11" s="79">
        <v>3512.55</v>
      </c>
      <c r="BA11" s="119">
        <v>40.634999999999309</v>
      </c>
      <c r="BC11" s="127" t="s">
        <v>311</v>
      </c>
    </row>
    <row r="12" spans="1:59" s="80" customFormat="1" hidden="1" x14ac:dyDescent="0.25">
      <c r="A12" s="117" t="s">
        <v>18</v>
      </c>
      <c r="B12" s="80" t="s">
        <v>19</v>
      </c>
      <c r="C12" s="118">
        <f t="shared" si="2"/>
        <v>1250</v>
      </c>
      <c r="D12" s="118">
        <v>0</v>
      </c>
      <c r="E12" s="118">
        <f t="shared" si="3"/>
        <v>2500</v>
      </c>
      <c r="F12" s="118"/>
      <c r="G12" s="118"/>
      <c r="H12" s="118">
        <f t="shared" si="4"/>
        <v>3750</v>
      </c>
      <c r="I12" s="118">
        <f t="shared" si="5"/>
        <v>0</v>
      </c>
      <c r="J12" s="119">
        <f t="shared" si="6"/>
        <v>0</v>
      </c>
      <c r="K12" s="118">
        <f t="shared" si="7"/>
        <v>0</v>
      </c>
      <c r="L12" s="118">
        <f t="shared" si="0"/>
        <v>0</v>
      </c>
      <c r="M12" s="118">
        <f t="shared" si="8"/>
        <v>45.15</v>
      </c>
      <c r="N12" s="118">
        <f t="shared" si="9"/>
        <v>0</v>
      </c>
      <c r="O12" s="118">
        <f t="shared" si="10"/>
        <v>0</v>
      </c>
      <c r="P12" s="118">
        <f t="shared" si="11"/>
        <v>45.15</v>
      </c>
      <c r="Q12" s="118">
        <f t="shared" si="12"/>
        <v>3704.85</v>
      </c>
      <c r="R12" s="120">
        <f t="shared" si="13"/>
        <v>3704.85</v>
      </c>
      <c r="S12" s="120">
        <f t="shared" si="14"/>
        <v>390.55799999999999</v>
      </c>
      <c r="T12" s="120">
        <f>+'C&amp;A'!D12*0.02</f>
        <v>21.911999999999999</v>
      </c>
      <c r="U12" s="120">
        <f t="shared" si="15"/>
        <v>4117.32</v>
      </c>
      <c r="V12" s="120">
        <f t="shared" si="16"/>
        <v>658.77120000000002</v>
      </c>
      <c r="W12" s="120">
        <f t="shared" si="17"/>
        <v>4776.0911999999998</v>
      </c>
      <c r="X12" s="121" t="s">
        <v>192</v>
      </c>
      <c r="Y12" s="121" t="s">
        <v>195</v>
      </c>
      <c r="Z12" s="122" t="s">
        <v>18</v>
      </c>
      <c r="AA12" s="121" t="s">
        <v>196</v>
      </c>
      <c r="AB12" s="121" t="s">
        <v>194</v>
      </c>
      <c r="AC12" s="121"/>
      <c r="AD12" s="123">
        <v>1237.2399999999998</v>
      </c>
      <c r="AE12" s="121">
        <v>12.760000000000218</v>
      </c>
      <c r="AF12" s="123">
        <v>1250</v>
      </c>
      <c r="AG12" s="123">
        <v>2500</v>
      </c>
      <c r="AH12" s="123">
        <f t="shared" si="1"/>
        <v>0</v>
      </c>
      <c r="AI12" s="123"/>
      <c r="AJ12" s="123"/>
      <c r="AK12" s="124">
        <v>45.15</v>
      </c>
      <c r="AL12" s="125">
        <f t="shared" si="18"/>
        <v>3704.85</v>
      </c>
      <c r="AM12" s="123"/>
      <c r="AN12" s="126"/>
      <c r="AO12" s="126"/>
      <c r="AP12" s="126"/>
      <c r="AQ12" s="48"/>
      <c r="AR12" s="48">
        <v>0</v>
      </c>
      <c r="AS12" s="125">
        <v>3905.58</v>
      </c>
      <c r="AT12" s="126">
        <v>0</v>
      </c>
      <c r="AU12" s="125">
        <f t="shared" si="19"/>
        <v>3704.85</v>
      </c>
      <c r="AV12" s="126">
        <v>390.55799999999999</v>
      </c>
      <c r="AW12" s="126">
        <v>24.744799999999998</v>
      </c>
      <c r="AX12" s="125">
        <v>4320.8828000000003</v>
      </c>
      <c r="AY12" s="79">
        <v>1237.2</v>
      </c>
      <c r="AZ12" s="79">
        <v>796.87</v>
      </c>
      <c r="BA12" s="119">
        <v>-1871.5099999999998</v>
      </c>
      <c r="BB12" s="109"/>
      <c r="BC12" s="127" t="s">
        <v>311</v>
      </c>
    </row>
    <row r="13" spans="1:59" s="80" customFormat="1" hidden="1" x14ac:dyDescent="0.25">
      <c r="A13" s="117" t="s">
        <v>20</v>
      </c>
      <c r="B13" s="80" t="s">
        <v>21</v>
      </c>
      <c r="C13" s="118">
        <f t="shared" si="2"/>
        <v>3500</v>
      </c>
      <c r="D13" s="118">
        <v>0</v>
      </c>
      <c r="E13" s="118">
        <f t="shared" si="3"/>
        <v>15486.79</v>
      </c>
      <c r="F13" s="118"/>
      <c r="G13" s="118"/>
      <c r="H13" s="118">
        <f t="shared" si="4"/>
        <v>18986.79</v>
      </c>
      <c r="I13" s="118">
        <f t="shared" si="5"/>
        <v>0</v>
      </c>
      <c r="J13" s="119">
        <f t="shared" si="6"/>
        <v>0</v>
      </c>
      <c r="K13" s="118">
        <f t="shared" si="7"/>
        <v>0</v>
      </c>
      <c r="L13" s="118">
        <f t="shared" si="0"/>
        <v>0</v>
      </c>
      <c r="M13" s="118">
        <f t="shared" si="8"/>
        <v>45.15</v>
      </c>
      <c r="N13" s="118">
        <f t="shared" si="9"/>
        <v>2181.2800000000002</v>
      </c>
      <c r="O13" s="118">
        <f t="shared" si="10"/>
        <v>1906.6759999999999</v>
      </c>
      <c r="P13" s="118">
        <f t="shared" si="11"/>
        <v>4133.1059999999998</v>
      </c>
      <c r="Q13" s="118">
        <f t="shared" si="12"/>
        <v>14853.684000000001</v>
      </c>
      <c r="R13" s="120">
        <f t="shared" si="13"/>
        <v>18941.64</v>
      </c>
      <c r="S13" s="120">
        <f t="shared" si="14"/>
        <v>0</v>
      </c>
      <c r="T13" s="120">
        <f>+'C&amp;A'!D13*0.02</f>
        <v>21.911999999999999</v>
      </c>
      <c r="U13" s="120">
        <f t="shared" si="15"/>
        <v>18963.552</v>
      </c>
      <c r="V13" s="120">
        <f t="shared" si="16"/>
        <v>3034.1683200000002</v>
      </c>
      <c r="W13" s="120">
        <f t="shared" si="17"/>
        <v>21997.72032</v>
      </c>
      <c r="X13" s="121" t="s">
        <v>192</v>
      </c>
      <c r="Y13" s="121" t="s">
        <v>197</v>
      </c>
      <c r="Z13" s="122" t="s">
        <v>20</v>
      </c>
      <c r="AA13" s="121" t="s">
        <v>198</v>
      </c>
      <c r="AB13" s="121"/>
      <c r="AC13" s="121"/>
      <c r="AD13" s="123">
        <v>1237.2399999999998</v>
      </c>
      <c r="AE13" s="121">
        <v>2262.7600000000002</v>
      </c>
      <c r="AF13" s="123">
        <v>3500</v>
      </c>
      <c r="AG13" s="123">
        <v>15486.79</v>
      </c>
      <c r="AH13" s="123">
        <f t="shared" si="1"/>
        <v>0</v>
      </c>
      <c r="AI13" s="123"/>
      <c r="AJ13" s="123"/>
      <c r="AK13" s="124">
        <v>45.15</v>
      </c>
      <c r="AL13" s="125">
        <f t="shared" si="18"/>
        <v>18941.64</v>
      </c>
      <c r="AM13" s="123"/>
      <c r="AN13" s="126"/>
      <c r="AO13" s="126"/>
      <c r="AP13" s="126"/>
      <c r="AQ13" s="48"/>
      <c r="AR13" s="48">
        <v>2181.2800000000002</v>
      </c>
      <c r="AS13" s="125">
        <v>16885.48</v>
      </c>
      <c r="AT13" s="126">
        <v>1906.6759999999999</v>
      </c>
      <c r="AU13" s="125">
        <f t="shared" si="19"/>
        <v>14853.684000000001</v>
      </c>
      <c r="AV13" s="126">
        <v>0</v>
      </c>
      <c r="AW13" s="126">
        <v>24.744799999999998</v>
      </c>
      <c r="AX13" s="125">
        <v>19091.504799999999</v>
      </c>
      <c r="AY13" s="79">
        <v>1237.2</v>
      </c>
      <c r="AZ13" s="79">
        <v>206.64</v>
      </c>
      <c r="BA13" s="119">
        <v>-13534.964</v>
      </c>
      <c r="BC13" s="127" t="s">
        <v>312</v>
      </c>
    </row>
    <row r="14" spans="1:59" s="80" customFormat="1" hidden="1" x14ac:dyDescent="0.25">
      <c r="A14" s="117" t="s">
        <v>22</v>
      </c>
      <c r="B14" s="80" t="s">
        <v>23</v>
      </c>
      <c r="C14" s="118">
        <f t="shared" si="2"/>
        <v>2250</v>
      </c>
      <c r="D14" s="118">
        <v>0</v>
      </c>
      <c r="E14" s="118">
        <f t="shared" si="3"/>
        <v>2000</v>
      </c>
      <c r="F14" s="118"/>
      <c r="G14" s="118"/>
      <c r="H14" s="118">
        <f t="shared" si="4"/>
        <v>4250</v>
      </c>
      <c r="I14" s="118">
        <f t="shared" si="5"/>
        <v>0</v>
      </c>
      <c r="J14" s="119">
        <f t="shared" si="6"/>
        <v>0</v>
      </c>
      <c r="K14" s="118">
        <f t="shared" si="7"/>
        <v>0</v>
      </c>
      <c r="L14" s="118">
        <f t="shared" si="0"/>
        <v>0</v>
      </c>
      <c r="M14" s="118">
        <f t="shared" si="8"/>
        <v>45.15</v>
      </c>
      <c r="N14" s="118">
        <f t="shared" si="9"/>
        <v>902.31</v>
      </c>
      <c r="O14" s="118">
        <f t="shared" si="10"/>
        <v>0</v>
      </c>
      <c r="P14" s="118">
        <f t="shared" si="11"/>
        <v>947.45999999999992</v>
      </c>
      <c r="Q14" s="118">
        <f t="shared" si="12"/>
        <v>3302.54</v>
      </c>
      <c r="R14" s="120">
        <f t="shared" si="13"/>
        <v>4204.8500000000004</v>
      </c>
      <c r="S14" s="120">
        <f t="shared" si="14"/>
        <v>437.96300000000002</v>
      </c>
      <c r="T14" s="120">
        <f>+'C&amp;A'!D14*0.02</f>
        <v>21.911999999999999</v>
      </c>
      <c r="U14" s="120">
        <f t="shared" si="15"/>
        <v>4664.7250000000004</v>
      </c>
      <c r="V14" s="120">
        <f t="shared" si="16"/>
        <v>746.35600000000011</v>
      </c>
      <c r="W14" s="120">
        <f t="shared" si="17"/>
        <v>5411.0810000000001</v>
      </c>
      <c r="X14" s="121" t="s">
        <v>192</v>
      </c>
      <c r="Y14" s="121" t="s">
        <v>127</v>
      </c>
      <c r="Z14" s="122" t="s">
        <v>22</v>
      </c>
      <c r="AA14" s="121" t="s">
        <v>199</v>
      </c>
      <c r="AB14" s="121"/>
      <c r="AC14" s="121"/>
      <c r="AD14" s="123">
        <v>1237.2399999999998</v>
      </c>
      <c r="AE14" s="121">
        <v>1012.7600000000002</v>
      </c>
      <c r="AF14" s="123">
        <v>2250</v>
      </c>
      <c r="AG14" s="123">
        <v>2000</v>
      </c>
      <c r="AH14" s="123">
        <f t="shared" si="1"/>
        <v>0</v>
      </c>
      <c r="AI14" s="123"/>
      <c r="AJ14" s="123"/>
      <c r="AK14" s="124">
        <v>45.15</v>
      </c>
      <c r="AL14" s="125">
        <f t="shared" si="18"/>
        <v>4204.8500000000004</v>
      </c>
      <c r="AM14" s="123"/>
      <c r="AN14" s="126"/>
      <c r="AO14" s="126"/>
      <c r="AP14" s="126"/>
      <c r="AQ14" s="48"/>
      <c r="AR14" s="48">
        <v>902.31</v>
      </c>
      <c r="AS14" s="125">
        <v>3477.32</v>
      </c>
      <c r="AT14" s="126">
        <v>0</v>
      </c>
      <c r="AU14" s="125">
        <f t="shared" si="19"/>
        <v>3302.5400000000004</v>
      </c>
      <c r="AV14" s="126">
        <v>437.96300000000002</v>
      </c>
      <c r="AW14" s="126">
        <v>24.744799999999998</v>
      </c>
      <c r="AX14" s="125">
        <v>4842.3378000000002</v>
      </c>
      <c r="AY14" s="79">
        <v>1237.2</v>
      </c>
      <c r="AZ14" s="79">
        <v>285.27</v>
      </c>
      <c r="BA14" s="119">
        <v>-1954.8500000000001</v>
      </c>
      <c r="BC14" s="127" t="s">
        <v>312</v>
      </c>
    </row>
    <row r="15" spans="1:59" s="80" customFormat="1" hidden="1" x14ac:dyDescent="0.25">
      <c r="A15" s="117" t="s">
        <v>24</v>
      </c>
      <c r="B15" s="80" t="s">
        <v>25</v>
      </c>
      <c r="C15" s="118">
        <f t="shared" si="2"/>
        <v>2500</v>
      </c>
      <c r="D15" s="118">
        <v>0</v>
      </c>
      <c r="E15" s="118">
        <f t="shared" si="3"/>
        <v>3750</v>
      </c>
      <c r="F15" s="118"/>
      <c r="G15" s="118"/>
      <c r="H15" s="118">
        <f t="shared" si="4"/>
        <v>6250</v>
      </c>
      <c r="I15" s="118">
        <f t="shared" si="5"/>
        <v>0</v>
      </c>
      <c r="J15" s="119">
        <f t="shared" si="6"/>
        <v>0</v>
      </c>
      <c r="K15" s="118">
        <f t="shared" si="7"/>
        <v>0</v>
      </c>
      <c r="L15" s="118">
        <f t="shared" si="0"/>
        <v>0</v>
      </c>
      <c r="M15" s="118">
        <f t="shared" si="8"/>
        <v>45.15</v>
      </c>
      <c r="N15" s="118">
        <f t="shared" si="9"/>
        <v>0</v>
      </c>
      <c r="O15" s="118">
        <f t="shared" si="10"/>
        <v>636.52300000000014</v>
      </c>
      <c r="P15" s="118">
        <f t="shared" si="11"/>
        <v>681.67300000000012</v>
      </c>
      <c r="Q15" s="118">
        <f t="shared" si="12"/>
        <v>5568.3270000000002</v>
      </c>
      <c r="R15" s="120">
        <f t="shared" si="13"/>
        <v>6204.85</v>
      </c>
      <c r="S15" s="120">
        <f t="shared" si="14"/>
        <v>0</v>
      </c>
      <c r="T15" s="120">
        <f>+'C&amp;A'!D15*0.02</f>
        <v>21.911999999999999</v>
      </c>
      <c r="U15" s="120">
        <f t="shared" si="15"/>
        <v>6226.7620000000006</v>
      </c>
      <c r="V15" s="120">
        <f t="shared" si="16"/>
        <v>996.28192000000013</v>
      </c>
      <c r="W15" s="120">
        <f t="shared" si="17"/>
        <v>7223.043920000001</v>
      </c>
      <c r="X15" s="121" t="s">
        <v>200</v>
      </c>
      <c r="Y15" s="121" t="s">
        <v>201</v>
      </c>
      <c r="Z15" s="121" t="s">
        <v>141</v>
      </c>
      <c r="AA15" s="121" t="s">
        <v>290</v>
      </c>
      <c r="AB15" s="121"/>
      <c r="AC15" s="121"/>
      <c r="AD15" s="123">
        <v>1237.2399999999998</v>
      </c>
      <c r="AE15" s="121">
        <v>1262.7600000000002</v>
      </c>
      <c r="AF15" s="123">
        <v>2500</v>
      </c>
      <c r="AG15" s="123">
        <v>3750</v>
      </c>
      <c r="AH15" s="123">
        <f t="shared" si="1"/>
        <v>0</v>
      </c>
      <c r="AI15" s="123"/>
      <c r="AJ15" s="123"/>
      <c r="AK15" s="124">
        <v>45.15</v>
      </c>
      <c r="AL15" s="125">
        <f t="shared" si="18"/>
        <v>6204.85</v>
      </c>
      <c r="AM15" s="123"/>
      <c r="AN15" s="126"/>
      <c r="AO15" s="126"/>
      <c r="AP15" s="126"/>
      <c r="AQ15" s="48"/>
      <c r="AR15" s="48">
        <v>0</v>
      </c>
      <c r="AS15" s="125">
        <v>6365.2300000000005</v>
      </c>
      <c r="AT15" s="126">
        <v>636.52300000000014</v>
      </c>
      <c r="AU15" s="125">
        <f t="shared" si="19"/>
        <v>5568.3270000000002</v>
      </c>
      <c r="AV15" s="126">
        <v>0</v>
      </c>
      <c r="AW15" s="126">
        <v>24.744799999999998</v>
      </c>
      <c r="AX15" s="125">
        <v>6389.9748000000009</v>
      </c>
      <c r="AY15" s="79">
        <v>1237.2</v>
      </c>
      <c r="AZ15" s="79">
        <v>1423.18</v>
      </c>
      <c r="BA15" s="119">
        <v>-3068.3270000000002</v>
      </c>
      <c r="BC15" s="127" t="s">
        <v>313</v>
      </c>
    </row>
    <row r="16" spans="1:59" s="80" customFormat="1" hidden="1" x14ac:dyDescent="0.25">
      <c r="A16" s="117" t="s">
        <v>26</v>
      </c>
      <c r="B16" s="80" t="s">
        <v>27</v>
      </c>
      <c r="C16" s="118">
        <f t="shared" si="2"/>
        <v>2500</v>
      </c>
      <c r="D16" s="118">
        <v>0</v>
      </c>
      <c r="E16" s="118">
        <f t="shared" si="3"/>
        <v>6081.55</v>
      </c>
      <c r="F16" s="118"/>
      <c r="G16" s="118"/>
      <c r="H16" s="118">
        <f t="shared" si="4"/>
        <v>8581.5499999999993</v>
      </c>
      <c r="I16" s="118">
        <f t="shared" si="5"/>
        <v>0</v>
      </c>
      <c r="J16" s="119">
        <f t="shared" si="6"/>
        <v>0</v>
      </c>
      <c r="K16" s="118">
        <f t="shared" si="7"/>
        <v>0</v>
      </c>
      <c r="L16" s="118">
        <f t="shared" si="0"/>
        <v>0</v>
      </c>
      <c r="M16" s="118">
        <f t="shared" si="8"/>
        <v>45.15</v>
      </c>
      <c r="N16" s="118">
        <f t="shared" si="9"/>
        <v>0</v>
      </c>
      <c r="O16" s="118">
        <f t="shared" si="10"/>
        <v>869.67799999999988</v>
      </c>
      <c r="P16" s="118">
        <f t="shared" si="11"/>
        <v>914.82799999999986</v>
      </c>
      <c r="Q16" s="118">
        <f t="shared" si="12"/>
        <v>7666.7219999999998</v>
      </c>
      <c r="R16" s="120">
        <f t="shared" si="13"/>
        <v>8536.4</v>
      </c>
      <c r="S16" s="120">
        <f t="shared" si="14"/>
        <v>0</v>
      </c>
      <c r="T16" s="120">
        <f>+'C&amp;A'!D16*0.02</f>
        <v>21.911999999999999</v>
      </c>
      <c r="U16" s="120">
        <f t="shared" si="15"/>
        <v>8558.3119999999999</v>
      </c>
      <c r="V16" s="120">
        <f t="shared" si="16"/>
        <v>1369.3299199999999</v>
      </c>
      <c r="W16" s="120">
        <f t="shared" si="17"/>
        <v>9927.64192</v>
      </c>
      <c r="X16" s="121" t="s">
        <v>192</v>
      </c>
      <c r="Y16" s="121" t="s">
        <v>202</v>
      </c>
      <c r="Z16" s="122" t="s">
        <v>26</v>
      </c>
      <c r="AA16" s="121" t="s">
        <v>291</v>
      </c>
      <c r="AB16" s="121" t="s">
        <v>194</v>
      </c>
      <c r="AC16" s="121"/>
      <c r="AD16" s="123">
        <v>1237.2399999999998</v>
      </c>
      <c r="AE16" s="121">
        <v>1262.7600000000002</v>
      </c>
      <c r="AF16" s="123">
        <v>2500</v>
      </c>
      <c r="AG16" s="123">
        <v>6081.55</v>
      </c>
      <c r="AH16" s="123">
        <f t="shared" si="1"/>
        <v>0</v>
      </c>
      <c r="AI16" s="123"/>
      <c r="AJ16" s="123"/>
      <c r="AK16" s="124">
        <v>45.15</v>
      </c>
      <c r="AL16" s="125">
        <f t="shared" si="18"/>
        <v>8536.4</v>
      </c>
      <c r="AM16" s="123"/>
      <c r="AN16" s="126"/>
      <c r="AO16" s="126"/>
      <c r="AP16" s="126"/>
      <c r="AQ16" s="48"/>
      <c r="AR16" s="48"/>
      <c r="AS16" s="125">
        <v>8696.7799999999988</v>
      </c>
      <c r="AT16" s="126">
        <v>869.67799999999988</v>
      </c>
      <c r="AU16" s="125">
        <f t="shared" si="19"/>
        <v>7666.7219999999998</v>
      </c>
      <c r="AV16" s="126">
        <v>0</v>
      </c>
      <c r="AW16" s="126">
        <v>24.744799999999998</v>
      </c>
      <c r="AX16" s="125">
        <v>8721.5247999999992</v>
      </c>
      <c r="AY16" s="79">
        <v>1237.2</v>
      </c>
      <c r="AZ16" s="79">
        <v>1423.18</v>
      </c>
      <c r="BA16" s="119">
        <v>-5166.7219999999988</v>
      </c>
      <c r="BC16" s="127" t="s">
        <v>313</v>
      </c>
    </row>
    <row r="17" spans="1:56" s="80" customFormat="1" x14ac:dyDescent="0.25">
      <c r="A17" s="117" t="s">
        <v>28</v>
      </c>
      <c r="B17" s="80" t="s">
        <v>29</v>
      </c>
      <c r="C17" s="118">
        <f t="shared" si="2"/>
        <v>6500</v>
      </c>
      <c r="D17" s="118">
        <v>0</v>
      </c>
      <c r="E17" s="118">
        <f t="shared" si="3"/>
        <v>0</v>
      </c>
      <c r="F17" s="118"/>
      <c r="G17" s="118"/>
      <c r="H17" s="118">
        <f t="shared" si="4"/>
        <v>6500</v>
      </c>
      <c r="I17" s="118">
        <f t="shared" si="5"/>
        <v>0</v>
      </c>
      <c r="J17" s="119">
        <f t="shared" si="6"/>
        <v>0</v>
      </c>
      <c r="K17" s="118">
        <f t="shared" si="7"/>
        <v>0</v>
      </c>
      <c r="L17" s="118">
        <f t="shared" si="0"/>
        <v>0</v>
      </c>
      <c r="M17" s="118">
        <f t="shared" si="8"/>
        <v>45.15</v>
      </c>
      <c r="N17" s="118">
        <f t="shared" si="9"/>
        <v>0</v>
      </c>
      <c r="O17" s="118">
        <f t="shared" si="10"/>
        <v>645.48500000000013</v>
      </c>
      <c r="P17" s="118">
        <f t="shared" si="11"/>
        <v>690.6350000000001</v>
      </c>
      <c r="Q17" s="118">
        <f t="shared" si="12"/>
        <v>5809.3649999999998</v>
      </c>
      <c r="R17" s="120">
        <f t="shared" si="13"/>
        <v>6454.85</v>
      </c>
      <c r="S17" s="120">
        <f t="shared" si="14"/>
        <v>0</v>
      </c>
      <c r="T17" s="120">
        <f>+'C&amp;A'!D17*0.02</f>
        <v>21.911999999999999</v>
      </c>
      <c r="U17" s="120">
        <f t="shared" si="15"/>
        <v>6476.7620000000006</v>
      </c>
      <c r="V17" s="120">
        <f t="shared" si="16"/>
        <v>1036.2819200000001</v>
      </c>
      <c r="W17" s="120">
        <f t="shared" si="17"/>
        <v>7513.043920000001</v>
      </c>
      <c r="X17" s="121" t="s">
        <v>236</v>
      </c>
      <c r="Y17" s="121" t="s">
        <v>292</v>
      </c>
      <c r="Z17" s="122" t="s">
        <v>28</v>
      </c>
      <c r="AA17" s="121" t="s">
        <v>204</v>
      </c>
      <c r="AB17" s="121"/>
      <c r="AC17" s="121"/>
      <c r="AD17" s="123">
        <v>1237.2399999999998</v>
      </c>
      <c r="AE17" s="121">
        <v>5262.76</v>
      </c>
      <c r="AF17" s="123">
        <v>6500</v>
      </c>
      <c r="AG17" s="123"/>
      <c r="AH17" s="123">
        <f t="shared" si="1"/>
        <v>0</v>
      </c>
      <c r="AI17" s="123"/>
      <c r="AJ17" s="123"/>
      <c r="AK17" s="124">
        <v>45.15</v>
      </c>
      <c r="AL17" s="125">
        <f t="shared" si="18"/>
        <v>6454.85</v>
      </c>
      <c r="AM17" s="123"/>
      <c r="AN17" s="126"/>
      <c r="AO17" s="126"/>
      <c r="AP17" s="126"/>
      <c r="AQ17" s="48"/>
      <c r="AR17" s="48">
        <v>0</v>
      </c>
      <c r="AS17" s="125">
        <v>6454.85</v>
      </c>
      <c r="AT17" s="126">
        <v>645.48500000000013</v>
      </c>
      <c r="AU17" s="125">
        <f t="shared" si="19"/>
        <v>5809.3649999999998</v>
      </c>
      <c r="AV17" s="126">
        <v>0</v>
      </c>
      <c r="AW17" s="126">
        <v>24.744799999999998</v>
      </c>
      <c r="AX17" s="125">
        <v>6479.5948000000008</v>
      </c>
      <c r="AY17" s="79">
        <v>1237.2</v>
      </c>
      <c r="AZ17" s="79">
        <v>4695.3999999999996</v>
      </c>
      <c r="BA17" s="119">
        <v>123.23499999999967</v>
      </c>
      <c r="BC17" s="127" t="s">
        <v>312</v>
      </c>
    </row>
    <row r="18" spans="1:56" s="80" customFormat="1" hidden="1" x14ac:dyDescent="0.25">
      <c r="A18" s="117" t="s">
        <v>32</v>
      </c>
      <c r="B18" s="80" t="s">
        <v>33</v>
      </c>
      <c r="C18" s="118">
        <f t="shared" si="2"/>
        <v>1400</v>
      </c>
      <c r="D18" s="118">
        <v>160.37636329558455</v>
      </c>
      <c r="E18" s="118">
        <f t="shared" si="3"/>
        <v>1200</v>
      </c>
      <c r="F18" s="118"/>
      <c r="G18" s="118"/>
      <c r="H18" s="118">
        <f t="shared" si="4"/>
        <v>2760.3763632955843</v>
      </c>
      <c r="I18" s="118">
        <f t="shared" si="5"/>
        <v>0</v>
      </c>
      <c r="J18" s="119">
        <f t="shared" si="6"/>
        <v>0</v>
      </c>
      <c r="K18" s="118">
        <f t="shared" si="7"/>
        <v>0</v>
      </c>
      <c r="L18" s="118">
        <f t="shared" si="0"/>
        <v>0</v>
      </c>
      <c r="M18" s="118">
        <f t="shared" si="8"/>
        <v>45.15</v>
      </c>
      <c r="N18" s="118">
        <f t="shared" si="9"/>
        <v>0</v>
      </c>
      <c r="O18" s="118">
        <f t="shared" si="10"/>
        <v>0</v>
      </c>
      <c r="P18" s="118">
        <f t="shared" si="11"/>
        <v>45.15</v>
      </c>
      <c r="Q18" s="118">
        <f t="shared" si="12"/>
        <v>2715.2263632955842</v>
      </c>
      <c r="R18" s="120">
        <f t="shared" si="13"/>
        <v>2715.2263632955842</v>
      </c>
      <c r="S18" s="120">
        <f t="shared" si="14"/>
        <v>275.55799999999999</v>
      </c>
      <c r="T18" s="120">
        <f>+'C&amp;A'!D18*0.02</f>
        <v>21.911999999999999</v>
      </c>
      <c r="U18" s="120">
        <f t="shared" si="15"/>
        <v>3012.696363295584</v>
      </c>
      <c r="V18" s="120">
        <f t="shared" si="16"/>
        <v>482.03141812729342</v>
      </c>
      <c r="W18" s="120">
        <f t="shared" si="17"/>
        <v>3494.7277814228773</v>
      </c>
      <c r="X18" s="121" t="s">
        <v>190</v>
      </c>
      <c r="Y18" s="121" t="s">
        <v>205</v>
      </c>
      <c r="Z18" s="122" t="s">
        <v>32</v>
      </c>
      <c r="AA18" s="121" t="s">
        <v>206</v>
      </c>
      <c r="AB18" s="121" t="s">
        <v>194</v>
      </c>
      <c r="AC18" s="121"/>
      <c r="AD18" s="123">
        <v>1237.2399999999998</v>
      </c>
      <c r="AE18" s="121">
        <v>162.76000000000022</v>
      </c>
      <c r="AF18" s="123">
        <v>1400</v>
      </c>
      <c r="AG18" s="123">
        <v>1200</v>
      </c>
      <c r="AH18" s="123">
        <f t="shared" si="1"/>
        <v>160.37636329558455</v>
      </c>
      <c r="AI18" s="123"/>
      <c r="AJ18" s="123"/>
      <c r="AK18" s="124">
        <v>45.15</v>
      </c>
      <c r="AL18" s="125">
        <f t="shared" si="18"/>
        <v>2715.2263632955846</v>
      </c>
      <c r="AM18" s="123"/>
      <c r="AN18" s="126"/>
      <c r="AO18" s="126"/>
      <c r="AP18" s="126"/>
      <c r="AQ18" s="48"/>
      <c r="AR18" s="48">
        <v>0</v>
      </c>
      <c r="AS18" s="125">
        <v>2755.58</v>
      </c>
      <c r="AT18" s="126">
        <v>0</v>
      </c>
      <c r="AU18" s="125">
        <f t="shared" si="19"/>
        <v>2715.2263632955846</v>
      </c>
      <c r="AV18" s="126">
        <v>275.55799999999999</v>
      </c>
      <c r="AW18" s="126">
        <v>24.744799999999998</v>
      </c>
      <c r="AX18" s="125">
        <v>3055.8827999999999</v>
      </c>
      <c r="AY18" s="79">
        <v>1237.2</v>
      </c>
      <c r="AZ18" s="79">
        <v>363.73</v>
      </c>
      <c r="BA18" s="119">
        <v>-1154.6499999999999</v>
      </c>
      <c r="BC18" s="127" t="s">
        <v>311</v>
      </c>
    </row>
    <row r="19" spans="1:56" s="80" customFormat="1" hidden="1" x14ac:dyDescent="0.25">
      <c r="A19" s="117" t="s">
        <v>34</v>
      </c>
      <c r="B19" s="80" t="s">
        <v>35</v>
      </c>
      <c r="C19" s="118">
        <f t="shared" si="2"/>
        <v>1400</v>
      </c>
      <c r="D19" s="118">
        <v>160.37636329558455</v>
      </c>
      <c r="E19" s="118">
        <f t="shared" si="3"/>
        <v>1200</v>
      </c>
      <c r="F19" s="118"/>
      <c r="G19" s="118"/>
      <c r="H19" s="118">
        <f t="shared" si="4"/>
        <v>2760.3763632955843</v>
      </c>
      <c r="I19" s="118">
        <f t="shared" si="5"/>
        <v>0</v>
      </c>
      <c r="J19" s="119">
        <f t="shared" si="6"/>
        <v>0</v>
      </c>
      <c r="K19" s="118">
        <f t="shared" si="7"/>
        <v>0</v>
      </c>
      <c r="L19" s="118">
        <f t="shared" si="0"/>
        <v>0</v>
      </c>
      <c r="M19" s="118">
        <f t="shared" si="8"/>
        <v>45.15</v>
      </c>
      <c r="N19" s="118">
        <f t="shared" si="9"/>
        <v>0</v>
      </c>
      <c r="O19" s="118">
        <f t="shared" si="10"/>
        <v>0</v>
      </c>
      <c r="P19" s="118">
        <f t="shared" si="11"/>
        <v>45.15</v>
      </c>
      <c r="Q19" s="118">
        <f t="shared" si="12"/>
        <v>2715.2263632955842</v>
      </c>
      <c r="R19" s="120">
        <f t="shared" si="13"/>
        <v>2715.2263632955842</v>
      </c>
      <c r="S19" s="120">
        <f t="shared" si="14"/>
        <v>275.55799999999999</v>
      </c>
      <c r="T19" s="120">
        <f>+'C&amp;A'!D19*0.02</f>
        <v>21.911999999999999</v>
      </c>
      <c r="U19" s="120">
        <f t="shared" si="15"/>
        <v>3012.696363295584</v>
      </c>
      <c r="V19" s="120">
        <f t="shared" si="16"/>
        <v>482.03141812729342</v>
      </c>
      <c r="W19" s="120">
        <f t="shared" si="17"/>
        <v>3494.7277814228773</v>
      </c>
      <c r="X19" s="121" t="s">
        <v>192</v>
      </c>
      <c r="Y19" s="121" t="s">
        <v>207</v>
      </c>
      <c r="Z19" s="122" t="s">
        <v>34</v>
      </c>
      <c r="AA19" s="121" t="s">
        <v>206</v>
      </c>
      <c r="AB19" s="121"/>
      <c r="AC19" s="121"/>
      <c r="AD19" s="123">
        <v>1237.2399999999998</v>
      </c>
      <c r="AE19" s="121">
        <v>162.76000000000022</v>
      </c>
      <c r="AF19" s="123">
        <v>1400</v>
      </c>
      <c r="AG19" s="123">
        <v>1200</v>
      </c>
      <c r="AH19" s="123">
        <f t="shared" si="1"/>
        <v>160.37636329558455</v>
      </c>
      <c r="AI19" s="123"/>
      <c r="AJ19" s="123"/>
      <c r="AK19" s="124">
        <v>45.15</v>
      </c>
      <c r="AL19" s="125">
        <f t="shared" si="18"/>
        <v>2715.2263632955846</v>
      </c>
      <c r="AM19" s="123"/>
      <c r="AN19" s="126"/>
      <c r="AO19" s="126"/>
      <c r="AP19" s="126"/>
      <c r="AQ19" s="48"/>
      <c r="AR19" s="48">
        <v>0</v>
      </c>
      <c r="AS19" s="125">
        <v>2755.58</v>
      </c>
      <c r="AT19" s="126">
        <v>0</v>
      </c>
      <c r="AU19" s="125">
        <f t="shared" si="19"/>
        <v>2715.2263632955846</v>
      </c>
      <c r="AV19" s="126">
        <v>275.55799999999999</v>
      </c>
      <c r="AW19" s="126">
        <v>24.744799999999998</v>
      </c>
      <c r="AX19" s="125">
        <v>3055.8827999999999</v>
      </c>
      <c r="AY19" s="79">
        <v>1237.2</v>
      </c>
      <c r="AZ19" s="79">
        <v>363.53</v>
      </c>
      <c r="BA19" s="119">
        <v>-1154.8499999999999</v>
      </c>
      <c r="BC19" s="127" t="s">
        <v>311</v>
      </c>
    </row>
    <row r="20" spans="1:56" s="80" customFormat="1" hidden="1" x14ac:dyDescent="0.25">
      <c r="A20" s="117" t="s">
        <v>36</v>
      </c>
      <c r="B20" s="80" t="s">
        <v>37</v>
      </c>
      <c r="C20" s="118">
        <f t="shared" si="2"/>
        <v>2500</v>
      </c>
      <c r="D20" s="118">
        <v>125.12056780965156</v>
      </c>
      <c r="E20" s="118">
        <f t="shared" si="3"/>
        <v>1000</v>
      </c>
      <c r="F20" s="118"/>
      <c r="G20" s="118"/>
      <c r="H20" s="118">
        <f t="shared" si="4"/>
        <v>3625.1205678096517</v>
      </c>
      <c r="I20" s="118">
        <f t="shared" si="5"/>
        <v>0</v>
      </c>
      <c r="J20" s="119">
        <f t="shared" si="6"/>
        <v>0</v>
      </c>
      <c r="K20" s="118">
        <f t="shared" si="7"/>
        <v>0</v>
      </c>
      <c r="L20" s="118">
        <f t="shared" si="0"/>
        <v>0</v>
      </c>
      <c r="M20" s="118">
        <f t="shared" si="8"/>
        <v>45.15</v>
      </c>
      <c r="N20" s="118">
        <f t="shared" si="9"/>
        <v>1551.8</v>
      </c>
      <c r="O20" s="118">
        <f t="shared" si="10"/>
        <v>0</v>
      </c>
      <c r="P20" s="118">
        <f t="shared" si="11"/>
        <v>1596.95</v>
      </c>
      <c r="Q20" s="118">
        <f t="shared" si="12"/>
        <v>2028.1705678096516</v>
      </c>
      <c r="R20" s="120">
        <f t="shared" si="13"/>
        <v>3579.9705678096516</v>
      </c>
      <c r="S20" s="120">
        <f t="shared" si="14"/>
        <v>361.52300000000002</v>
      </c>
      <c r="T20" s="120">
        <f>+'C&amp;A'!D20*0.02</f>
        <v>21.911999999999999</v>
      </c>
      <c r="U20" s="120">
        <f t="shared" si="15"/>
        <v>3963.4055678096515</v>
      </c>
      <c r="V20" s="120">
        <f t="shared" si="16"/>
        <v>634.14489084954425</v>
      </c>
      <c r="W20" s="120">
        <f t="shared" si="17"/>
        <v>4597.550458659196</v>
      </c>
      <c r="X20" s="121" t="s">
        <v>192</v>
      </c>
      <c r="Y20" s="121" t="s">
        <v>128</v>
      </c>
      <c r="Z20" s="122" t="s">
        <v>36</v>
      </c>
      <c r="AA20" s="121" t="s">
        <v>208</v>
      </c>
      <c r="AB20" s="121" t="s">
        <v>194</v>
      </c>
      <c r="AC20" s="121"/>
      <c r="AD20" s="123">
        <v>1237.2399999999998</v>
      </c>
      <c r="AE20" s="121">
        <v>1262.7600000000002</v>
      </c>
      <c r="AF20" s="123">
        <v>2500</v>
      </c>
      <c r="AG20" s="123">
        <v>1000</v>
      </c>
      <c r="AH20" s="123">
        <f t="shared" si="1"/>
        <v>125.12056780965156</v>
      </c>
      <c r="AI20" s="123"/>
      <c r="AJ20" s="123"/>
      <c r="AK20" s="124">
        <v>45.15</v>
      </c>
      <c r="AL20" s="125">
        <f t="shared" si="18"/>
        <v>3579.9705678096516</v>
      </c>
      <c r="AM20" s="123"/>
      <c r="AN20" s="126"/>
      <c r="AO20" s="126"/>
      <c r="AP20" s="126"/>
      <c r="AQ20" s="48"/>
      <c r="AR20" s="48">
        <v>1551.8</v>
      </c>
      <c r="AS20" s="125">
        <v>2063.4300000000003</v>
      </c>
      <c r="AT20" s="126">
        <v>0</v>
      </c>
      <c r="AU20" s="125">
        <f t="shared" si="19"/>
        <v>2028.1705678096516</v>
      </c>
      <c r="AV20" s="126">
        <v>361.52300000000002</v>
      </c>
      <c r="AW20" s="126">
        <v>24.744799999999998</v>
      </c>
      <c r="AX20" s="125">
        <v>4001.4978000000001</v>
      </c>
      <c r="AY20" s="79">
        <v>1237.2</v>
      </c>
      <c r="AZ20" s="79">
        <v>1532.84</v>
      </c>
      <c r="BA20" s="119">
        <v>706.60999999999967</v>
      </c>
      <c r="BB20" s="109"/>
      <c r="BC20" s="127" t="s">
        <v>311</v>
      </c>
    </row>
    <row r="21" spans="1:56" s="80" customFormat="1" hidden="1" x14ac:dyDescent="0.25">
      <c r="A21" s="117" t="s">
        <v>38</v>
      </c>
      <c r="B21" s="80" t="s">
        <v>39</v>
      </c>
      <c r="C21" s="118">
        <f t="shared" si="2"/>
        <v>2750</v>
      </c>
      <c r="D21" s="118">
        <v>0</v>
      </c>
      <c r="E21" s="118">
        <f t="shared" si="3"/>
        <v>2250</v>
      </c>
      <c r="F21" s="118"/>
      <c r="G21" s="118"/>
      <c r="H21" s="118">
        <f t="shared" si="4"/>
        <v>5000</v>
      </c>
      <c r="I21" s="118">
        <f t="shared" si="5"/>
        <v>183.33</v>
      </c>
      <c r="J21" s="119">
        <f t="shared" si="6"/>
        <v>0</v>
      </c>
      <c r="K21" s="118">
        <f t="shared" si="7"/>
        <v>0</v>
      </c>
      <c r="L21" s="118">
        <f t="shared" si="0"/>
        <v>0</v>
      </c>
      <c r="M21" s="118">
        <f t="shared" si="8"/>
        <v>45.15</v>
      </c>
      <c r="N21" s="118">
        <f t="shared" si="9"/>
        <v>0</v>
      </c>
      <c r="O21" s="118">
        <f t="shared" si="10"/>
        <v>510.02200000000005</v>
      </c>
      <c r="P21" s="118">
        <f t="shared" si="11"/>
        <v>738.50200000000007</v>
      </c>
      <c r="Q21" s="118">
        <f t="shared" si="12"/>
        <v>4261.4979999999996</v>
      </c>
      <c r="R21" s="120">
        <f t="shared" si="13"/>
        <v>4954.8500000000004</v>
      </c>
      <c r="S21" s="120">
        <f t="shared" si="14"/>
        <v>0</v>
      </c>
      <c r="T21" s="120">
        <f>+'C&amp;A'!D21*0.02</f>
        <v>21.911999999999999</v>
      </c>
      <c r="U21" s="120">
        <f t="shared" si="15"/>
        <v>4976.7620000000006</v>
      </c>
      <c r="V21" s="120">
        <f t="shared" si="16"/>
        <v>796.28192000000013</v>
      </c>
      <c r="W21" s="120">
        <f t="shared" si="17"/>
        <v>5773.043920000001</v>
      </c>
      <c r="X21" s="121" t="s">
        <v>192</v>
      </c>
      <c r="Y21" s="121" t="s">
        <v>209</v>
      </c>
      <c r="Z21" s="122" t="s">
        <v>38</v>
      </c>
      <c r="AA21" s="121" t="s">
        <v>210</v>
      </c>
      <c r="AB21" s="121"/>
      <c r="AC21" s="121"/>
      <c r="AD21" s="123">
        <v>1237.2399999999998</v>
      </c>
      <c r="AE21" s="121">
        <v>1512.7600000000002</v>
      </c>
      <c r="AF21" s="123">
        <v>2750</v>
      </c>
      <c r="AG21" s="123">
        <v>2250</v>
      </c>
      <c r="AH21" s="123">
        <f t="shared" si="1"/>
        <v>0</v>
      </c>
      <c r="AI21" s="123"/>
      <c r="AJ21" s="123"/>
      <c r="AK21" s="124">
        <v>45.15</v>
      </c>
      <c r="AL21" s="125">
        <f t="shared" si="18"/>
        <v>4954.8500000000004</v>
      </c>
      <c r="AM21" s="123">
        <v>183.33</v>
      </c>
      <c r="AN21" s="126"/>
      <c r="AO21" s="126"/>
      <c r="AP21" s="126"/>
      <c r="AQ21" s="48"/>
      <c r="AR21" s="48">
        <v>0</v>
      </c>
      <c r="AS21" s="125">
        <v>4916.8900000000003</v>
      </c>
      <c r="AT21" s="126">
        <v>510.02200000000005</v>
      </c>
      <c r="AU21" s="125">
        <f>+AL21-AM21-AN21-AO21-AP21-AQ21-AR21-AT21</f>
        <v>4261.4980000000005</v>
      </c>
      <c r="AV21" s="126">
        <v>0</v>
      </c>
      <c r="AW21" s="126">
        <v>24.744799999999998</v>
      </c>
      <c r="AX21" s="125">
        <v>5124.9648000000007</v>
      </c>
      <c r="AY21" s="79">
        <v>1237.2</v>
      </c>
      <c r="AZ21" s="79">
        <v>1474.84</v>
      </c>
      <c r="BA21" s="119">
        <v>-1694.8280000000004</v>
      </c>
      <c r="BB21" s="128"/>
      <c r="BC21" s="127" t="s">
        <v>312</v>
      </c>
    </row>
    <row r="22" spans="1:56" s="80" customFormat="1" hidden="1" x14ac:dyDescent="0.25">
      <c r="A22" s="117" t="s">
        <v>40</v>
      </c>
      <c r="B22" s="80" t="s">
        <v>41</v>
      </c>
      <c r="C22" s="118">
        <f t="shared" si="2"/>
        <v>2500</v>
      </c>
      <c r="D22" s="118">
        <v>0</v>
      </c>
      <c r="E22" s="118">
        <f t="shared" si="3"/>
        <v>3000</v>
      </c>
      <c r="F22" s="118"/>
      <c r="G22" s="118"/>
      <c r="H22" s="118">
        <f t="shared" si="4"/>
        <v>5500</v>
      </c>
      <c r="I22" s="118">
        <f t="shared" si="5"/>
        <v>0</v>
      </c>
      <c r="J22" s="119">
        <f t="shared" si="6"/>
        <v>0</v>
      </c>
      <c r="K22" s="118">
        <f t="shared" si="7"/>
        <v>0</v>
      </c>
      <c r="L22" s="118">
        <f t="shared" si="0"/>
        <v>0</v>
      </c>
      <c r="M22" s="118">
        <f t="shared" si="8"/>
        <v>45.15</v>
      </c>
      <c r="N22" s="118">
        <f t="shared" si="9"/>
        <v>0</v>
      </c>
      <c r="O22" s="118">
        <f t="shared" si="10"/>
        <v>561.52300000000002</v>
      </c>
      <c r="P22" s="118">
        <f t="shared" si="11"/>
        <v>606.673</v>
      </c>
      <c r="Q22" s="118">
        <f t="shared" si="12"/>
        <v>4893.3270000000002</v>
      </c>
      <c r="R22" s="120">
        <f t="shared" si="13"/>
        <v>5454.85</v>
      </c>
      <c r="S22" s="120">
        <f t="shared" si="14"/>
        <v>0</v>
      </c>
      <c r="T22" s="120">
        <f>+'C&amp;A'!D22*0.02</f>
        <v>21.911999999999999</v>
      </c>
      <c r="U22" s="120">
        <f t="shared" si="15"/>
        <v>5476.7620000000006</v>
      </c>
      <c r="V22" s="120">
        <f t="shared" si="16"/>
        <v>876.28192000000013</v>
      </c>
      <c r="W22" s="120">
        <f t="shared" si="17"/>
        <v>6353.043920000001</v>
      </c>
      <c r="X22" s="121" t="s">
        <v>192</v>
      </c>
      <c r="Y22" s="121" t="s">
        <v>211</v>
      </c>
      <c r="Z22" s="122" t="s">
        <v>40</v>
      </c>
      <c r="AA22" s="121" t="s">
        <v>203</v>
      </c>
      <c r="AB22" s="121" t="s">
        <v>194</v>
      </c>
      <c r="AC22" s="121"/>
      <c r="AD22" s="123">
        <v>1237.2399999999998</v>
      </c>
      <c r="AE22" s="121">
        <v>1262.7600000000002</v>
      </c>
      <c r="AF22" s="123">
        <v>2500</v>
      </c>
      <c r="AG22" s="123">
        <v>3000</v>
      </c>
      <c r="AH22" s="123">
        <f t="shared" si="1"/>
        <v>0</v>
      </c>
      <c r="AI22" s="129"/>
      <c r="AJ22" s="123"/>
      <c r="AK22" s="124">
        <v>45.15</v>
      </c>
      <c r="AL22" s="125">
        <f t="shared" si="18"/>
        <v>5454.85</v>
      </c>
      <c r="AM22" s="123"/>
      <c r="AN22" s="126"/>
      <c r="AO22" s="126"/>
      <c r="AP22" s="126"/>
      <c r="AQ22" s="48"/>
      <c r="AR22" s="48">
        <v>0</v>
      </c>
      <c r="AS22" s="125">
        <v>5615.2300000000005</v>
      </c>
      <c r="AT22" s="126">
        <v>561.52300000000002</v>
      </c>
      <c r="AU22" s="125">
        <f t="shared" si="19"/>
        <v>4893.3270000000002</v>
      </c>
      <c r="AV22" s="126">
        <v>0</v>
      </c>
      <c r="AW22" s="126">
        <v>24.744799999999998</v>
      </c>
      <c r="AX22" s="125">
        <v>5639.9748000000009</v>
      </c>
      <c r="AY22" s="79">
        <v>1237.2</v>
      </c>
      <c r="AZ22" s="79">
        <v>1245.27</v>
      </c>
      <c r="BA22" s="130">
        <v>-2571.2370000000001</v>
      </c>
      <c r="BC22" s="127" t="s">
        <v>311</v>
      </c>
    </row>
    <row r="23" spans="1:56" s="80" customFormat="1" hidden="1" x14ac:dyDescent="0.25">
      <c r="A23" s="117"/>
      <c r="B23" s="121" t="s">
        <v>293</v>
      </c>
      <c r="C23" s="118">
        <f t="shared" si="2"/>
        <v>1200</v>
      </c>
      <c r="D23" s="118">
        <v>145.37389713135775</v>
      </c>
      <c r="E23" s="118">
        <f t="shared" si="3"/>
        <v>1800</v>
      </c>
      <c r="F23" s="118"/>
      <c r="G23" s="118"/>
      <c r="H23" s="118">
        <f t="shared" si="4"/>
        <v>3145.3738971313578</v>
      </c>
      <c r="I23" s="118">
        <f t="shared" si="5"/>
        <v>0</v>
      </c>
      <c r="J23" s="119">
        <f t="shared" si="6"/>
        <v>0</v>
      </c>
      <c r="K23" s="118">
        <f t="shared" si="7"/>
        <v>0</v>
      </c>
      <c r="L23" s="118">
        <f t="shared" si="0"/>
        <v>0</v>
      </c>
      <c r="M23" s="118">
        <f t="shared" si="8"/>
        <v>45.15</v>
      </c>
      <c r="N23" s="118">
        <f t="shared" si="9"/>
        <v>0</v>
      </c>
      <c r="O23" s="118">
        <f t="shared" si="10"/>
        <v>0</v>
      </c>
      <c r="P23" s="118">
        <f t="shared" si="11"/>
        <v>45.15</v>
      </c>
      <c r="Q23" s="118">
        <f t="shared" si="12"/>
        <v>3100.2238971313577</v>
      </c>
      <c r="R23" s="120">
        <f t="shared" si="13"/>
        <v>3100.2238971313577</v>
      </c>
      <c r="S23" s="120">
        <f t="shared" si="14"/>
        <v>295.48500000000001</v>
      </c>
      <c r="T23" s="120">
        <f>+'C&amp;A'!D23*0.02</f>
        <v>21.911999999999999</v>
      </c>
      <c r="U23" s="120">
        <f t="shared" si="15"/>
        <v>3417.6208971313577</v>
      </c>
      <c r="V23" s="120">
        <f t="shared" si="16"/>
        <v>546.81934354101725</v>
      </c>
      <c r="W23" s="120">
        <f t="shared" si="17"/>
        <v>3964.4402406723748</v>
      </c>
      <c r="X23" s="121" t="s">
        <v>190</v>
      </c>
      <c r="Y23" s="121" t="s">
        <v>293</v>
      </c>
      <c r="Z23" s="122"/>
      <c r="AA23" s="121" t="s">
        <v>122</v>
      </c>
      <c r="AB23" s="121"/>
      <c r="AC23" s="121"/>
      <c r="AD23" s="123">
        <v>1237.24</v>
      </c>
      <c r="AE23" s="121">
        <v>-37.24</v>
      </c>
      <c r="AF23" s="123">
        <v>1200</v>
      </c>
      <c r="AG23" s="123">
        <v>1800</v>
      </c>
      <c r="AH23" s="123">
        <f t="shared" si="1"/>
        <v>145.37389713135775</v>
      </c>
      <c r="AI23" s="129"/>
      <c r="AJ23" s="123"/>
      <c r="AK23" s="124">
        <v>45.15</v>
      </c>
      <c r="AL23" s="125">
        <f t="shared" si="18"/>
        <v>3100.2238971313577</v>
      </c>
      <c r="AM23" s="123"/>
      <c r="AN23" s="126"/>
      <c r="AO23" s="126"/>
      <c r="AP23" s="126"/>
      <c r="AQ23" s="48"/>
      <c r="AR23" s="48"/>
      <c r="AS23" s="125">
        <v>2954.85</v>
      </c>
      <c r="AT23" s="126">
        <v>0</v>
      </c>
      <c r="AU23" s="125">
        <f t="shared" si="19"/>
        <v>3100.2238971313577</v>
      </c>
      <c r="AV23" s="126">
        <v>295.48500000000001</v>
      </c>
      <c r="AW23" s="126">
        <v>24.744800000000001</v>
      </c>
      <c r="AX23" s="125">
        <v>3275.0798</v>
      </c>
      <c r="AY23" s="79"/>
      <c r="AZ23" s="79"/>
      <c r="BA23" s="130"/>
      <c r="BC23" s="127" t="s">
        <v>314</v>
      </c>
    </row>
    <row r="24" spans="1:56" s="80" customFormat="1" hidden="1" x14ac:dyDescent="0.25">
      <c r="A24" s="117" t="s">
        <v>42</v>
      </c>
      <c r="B24" s="80" t="s">
        <v>43</v>
      </c>
      <c r="C24" s="118">
        <f t="shared" si="2"/>
        <v>7500</v>
      </c>
      <c r="D24" s="118">
        <v>0</v>
      </c>
      <c r="E24" s="118">
        <f t="shared" si="3"/>
        <v>97564.68</v>
      </c>
      <c r="F24" s="118"/>
      <c r="G24" s="118"/>
      <c r="H24" s="118">
        <f t="shared" si="4"/>
        <v>105064.68</v>
      </c>
      <c r="I24" s="118">
        <f t="shared" si="5"/>
        <v>0</v>
      </c>
      <c r="J24" s="119">
        <f t="shared" si="6"/>
        <v>0</v>
      </c>
      <c r="K24" s="118">
        <f t="shared" si="7"/>
        <v>0</v>
      </c>
      <c r="L24" s="118">
        <f t="shared" si="0"/>
        <v>0</v>
      </c>
      <c r="M24" s="118">
        <f t="shared" si="8"/>
        <v>45.15</v>
      </c>
      <c r="N24" s="118">
        <f t="shared" si="9"/>
        <v>0</v>
      </c>
      <c r="O24" s="118">
        <f t="shared" si="10"/>
        <v>10501.953000000001</v>
      </c>
      <c r="P24" s="118">
        <f t="shared" si="11"/>
        <v>10547.103000000001</v>
      </c>
      <c r="Q24" s="118">
        <f t="shared" si="12"/>
        <v>94517.57699999999</v>
      </c>
      <c r="R24" s="120">
        <f t="shared" si="13"/>
        <v>105019.53</v>
      </c>
      <c r="S24" s="120">
        <f t="shared" si="14"/>
        <v>0</v>
      </c>
      <c r="T24" s="120">
        <f>+'C&amp;A'!D24*0.02</f>
        <v>21.911999999999999</v>
      </c>
      <c r="U24" s="120">
        <f t="shared" si="15"/>
        <v>105041.442</v>
      </c>
      <c r="V24" s="120">
        <f t="shared" si="16"/>
        <v>16806.630720000001</v>
      </c>
      <c r="W24" s="120">
        <f t="shared" si="17"/>
        <v>121848.07272</v>
      </c>
      <c r="X24" s="121" t="s">
        <v>200</v>
      </c>
      <c r="Y24" s="121" t="s">
        <v>212</v>
      </c>
      <c r="Z24" s="121" t="s">
        <v>42</v>
      </c>
      <c r="AA24" s="121" t="s">
        <v>213</v>
      </c>
      <c r="AB24" s="121"/>
      <c r="AC24" s="121"/>
      <c r="AD24" s="123">
        <v>1237.2399999999998</v>
      </c>
      <c r="AE24" s="121">
        <v>6262.76</v>
      </c>
      <c r="AF24" s="123">
        <v>7500</v>
      </c>
      <c r="AG24" s="123">
        <v>97564.68</v>
      </c>
      <c r="AH24" s="123">
        <f t="shared" si="1"/>
        <v>0</v>
      </c>
      <c r="AI24" s="123"/>
      <c r="AJ24" s="123"/>
      <c r="AK24" s="124">
        <v>45.15</v>
      </c>
      <c r="AL24" s="125">
        <f t="shared" si="18"/>
        <v>105019.53</v>
      </c>
      <c r="AM24" s="123"/>
      <c r="AN24" s="126"/>
      <c r="AO24" s="126"/>
      <c r="AP24" s="126"/>
      <c r="AQ24" s="48"/>
      <c r="AR24" s="48">
        <v>0</v>
      </c>
      <c r="AS24" s="125">
        <v>105019.53</v>
      </c>
      <c r="AT24" s="126">
        <v>10501.953000000001</v>
      </c>
      <c r="AU24" s="125">
        <f t="shared" si="19"/>
        <v>94517.57699999999</v>
      </c>
      <c r="AV24" s="126">
        <v>0</v>
      </c>
      <c r="AW24" s="126">
        <v>24.744799999999998</v>
      </c>
      <c r="AX24" s="125">
        <v>105044.2748</v>
      </c>
      <c r="AY24" s="79">
        <v>1237.2</v>
      </c>
      <c r="AZ24" s="79">
        <v>5512.8</v>
      </c>
      <c r="BA24" s="119">
        <v>-87767.57699999999</v>
      </c>
      <c r="BC24" s="127" t="s">
        <v>313</v>
      </c>
    </row>
    <row r="25" spans="1:56" s="80" customFormat="1" hidden="1" x14ac:dyDescent="0.25">
      <c r="A25" s="117" t="s">
        <v>44</v>
      </c>
      <c r="B25" s="80" t="s">
        <v>45</v>
      </c>
      <c r="C25" s="118">
        <f t="shared" si="2"/>
        <v>1200</v>
      </c>
      <c r="D25" s="118">
        <v>107.41765773586395</v>
      </c>
      <c r="E25" s="118">
        <f t="shared" si="3"/>
        <v>2400.86</v>
      </c>
      <c r="F25" s="118"/>
      <c r="G25" s="118"/>
      <c r="H25" s="118">
        <f t="shared" si="4"/>
        <v>3708.2776577358641</v>
      </c>
      <c r="I25" s="118">
        <f t="shared" si="5"/>
        <v>0</v>
      </c>
      <c r="J25" s="119">
        <f t="shared" si="6"/>
        <v>0</v>
      </c>
      <c r="K25" s="118">
        <f t="shared" si="7"/>
        <v>0</v>
      </c>
      <c r="L25" s="118">
        <f t="shared" si="0"/>
        <v>0</v>
      </c>
      <c r="M25" s="118">
        <f t="shared" si="8"/>
        <v>45.15</v>
      </c>
      <c r="N25" s="118">
        <f t="shared" si="9"/>
        <v>0</v>
      </c>
      <c r="O25" s="118">
        <f t="shared" si="10"/>
        <v>0</v>
      </c>
      <c r="P25" s="118">
        <f t="shared" si="11"/>
        <v>45.15</v>
      </c>
      <c r="Q25" s="118">
        <f t="shared" si="12"/>
        <v>3663.127657735864</v>
      </c>
      <c r="R25" s="120">
        <f t="shared" si="13"/>
        <v>3663.127657735864</v>
      </c>
      <c r="S25" s="120">
        <f t="shared" si="14"/>
        <v>355.57100000000003</v>
      </c>
      <c r="T25" s="120">
        <f>+'C&amp;A'!D25*0.02</f>
        <v>21.911999999999999</v>
      </c>
      <c r="U25" s="120">
        <f t="shared" si="15"/>
        <v>4040.6106577358637</v>
      </c>
      <c r="V25" s="120">
        <f t="shared" si="16"/>
        <v>646.49770523773816</v>
      </c>
      <c r="W25" s="120">
        <f t="shared" si="17"/>
        <v>4687.1083629736022</v>
      </c>
      <c r="X25" s="121" t="s">
        <v>190</v>
      </c>
      <c r="Y25" s="121" t="s">
        <v>136</v>
      </c>
      <c r="Z25" s="122" t="s">
        <v>44</v>
      </c>
      <c r="AA25" s="121" t="s">
        <v>214</v>
      </c>
      <c r="AB25" s="121"/>
      <c r="AC25" s="121"/>
      <c r="AD25" s="123">
        <v>1237.2399999999998</v>
      </c>
      <c r="AE25" s="121">
        <v>-37.239999999999782</v>
      </c>
      <c r="AF25" s="123">
        <v>1200</v>
      </c>
      <c r="AG25" s="123">
        <v>2400.86</v>
      </c>
      <c r="AH25" s="123">
        <f t="shared" si="1"/>
        <v>107.41765773586395</v>
      </c>
      <c r="AI25" s="123"/>
      <c r="AJ25" s="123"/>
      <c r="AK25" s="124">
        <v>45.15</v>
      </c>
      <c r="AL25" s="125">
        <f t="shared" si="18"/>
        <v>3663.127657735864</v>
      </c>
      <c r="AM25" s="123"/>
      <c r="AN25" s="126"/>
      <c r="AO25" s="126"/>
      <c r="AP25" s="126"/>
      <c r="AQ25" s="48"/>
      <c r="AR25" s="48">
        <v>0</v>
      </c>
      <c r="AS25" s="125">
        <v>3555.71</v>
      </c>
      <c r="AT25" s="126">
        <v>0</v>
      </c>
      <c r="AU25" s="125">
        <f t="shared" si="19"/>
        <v>3663.127657735864</v>
      </c>
      <c r="AV25" s="126">
        <v>355.57100000000003</v>
      </c>
      <c r="AW25" s="126">
        <v>24.744799999999998</v>
      </c>
      <c r="AX25" s="125">
        <v>3936.0257999999999</v>
      </c>
      <c r="AY25" s="79">
        <v>1237.2</v>
      </c>
      <c r="AZ25" s="79">
        <v>2400.65</v>
      </c>
      <c r="BA25" s="130">
        <v>82.140000000000327</v>
      </c>
      <c r="BC25" s="127" t="s">
        <v>314</v>
      </c>
    </row>
    <row r="26" spans="1:56" s="80" customFormat="1" hidden="1" x14ac:dyDescent="0.25">
      <c r="A26" s="131" t="s">
        <v>159</v>
      </c>
      <c r="B26" s="80" t="s">
        <v>154</v>
      </c>
      <c r="C26" s="118">
        <f t="shared" si="2"/>
        <v>2500</v>
      </c>
      <c r="D26" s="118">
        <v>0</v>
      </c>
      <c r="E26" s="118">
        <f t="shared" si="3"/>
        <v>2500</v>
      </c>
      <c r="F26" s="118"/>
      <c r="G26" s="118"/>
      <c r="H26" s="118">
        <f t="shared" si="4"/>
        <v>5000</v>
      </c>
      <c r="I26" s="118">
        <f t="shared" si="5"/>
        <v>0</v>
      </c>
      <c r="J26" s="119">
        <f t="shared" si="6"/>
        <v>0</v>
      </c>
      <c r="K26" s="118">
        <f t="shared" si="7"/>
        <v>0</v>
      </c>
      <c r="L26" s="118">
        <f t="shared" si="0"/>
        <v>0</v>
      </c>
      <c r="M26" s="118">
        <f t="shared" si="8"/>
        <v>45.15</v>
      </c>
      <c r="N26" s="118">
        <f t="shared" si="9"/>
        <v>0</v>
      </c>
      <c r="O26" s="118">
        <f t="shared" si="10"/>
        <v>511.52300000000008</v>
      </c>
      <c r="P26" s="118">
        <f t="shared" si="11"/>
        <v>556.67300000000012</v>
      </c>
      <c r="Q26" s="118">
        <f t="shared" si="12"/>
        <v>4443.3270000000002</v>
      </c>
      <c r="R26" s="120">
        <f t="shared" si="13"/>
        <v>4954.8500000000004</v>
      </c>
      <c r="S26" s="120">
        <f t="shared" si="14"/>
        <v>0</v>
      </c>
      <c r="T26" s="120">
        <f>+'C&amp;A'!D26*0.02</f>
        <v>21.911999999999999</v>
      </c>
      <c r="U26" s="120">
        <f t="shared" si="15"/>
        <v>4976.7620000000006</v>
      </c>
      <c r="V26" s="120">
        <f t="shared" si="16"/>
        <v>796.28192000000013</v>
      </c>
      <c r="W26" s="120">
        <f t="shared" si="17"/>
        <v>5773.043920000001</v>
      </c>
      <c r="X26" s="121" t="s">
        <v>200</v>
      </c>
      <c r="Y26" s="121" t="s">
        <v>294</v>
      </c>
      <c r="Z26" s="122" t="s">
        <v>159</v>
      </c>
      <c r="AA26" s="121" t="s">
        <v>215</v>
      </c>
      <c r="AB26" s="121"/>
      <c r="AC26" s="121"/>
      <c r="AD26" s="123">
        <v>1237.24</v>
      </c>
      <c r="AE26" s="121">
        <v>1262.76</v>
      </c>
      <c r="AF26" s="123">
        <v>2500</v>
      </c>
      <c r="AG26" s="123">
        <v>2500</v>
      </c>
      <c r="AH26" s="123">
        <f t="shared" si="1"/>
        <v>0</v>
      </c>
      <c r="AI26" s="123"/>
      <c r="AJ26" s="123"/>
      <c r="AK26" s="124">
        <v>45.15</v>
      </c>
      <c r="AL26" s="125">
        <f t="shared" si="18"/>
        <v>4954.8500000000004</v>
      </c>
      <c r="AM26" s="123"/>
      <c r="AN26" s="126"/>
      <c r="AO26" s="126"/>
      <c r="AP26" s="126"/>
      <c r="AQ26" s="48"/>
      <c r="AR26" s="48">
        <v>0</v>
      </c>
      <c r="AS26" s="125">
        <v>5115.2300000000005</v>
      </c>
      <c r="AT26" s="126">
        <v>511.52300000000008</v>
      </c>
      <c r="AU26" s="125">
        <f t="shared" si="19"/>
        <v>4443.3270000000002</v>
      </c>
      <c r="AV26" s="126">
        <v>0</v>
      </c>
      <c r="AW26" s="126">
        <v>24.744800000000001</v>
      </c>
      <c r="AX26" s="125">
        <v>5139.9748000000009</v>
      </c>
      <c r="AY26" s="79">
        <v>1237.2</v>
      </c>
      <c r="AZ26" s="79">
        <v>1405.7</v>
      </c>
      <c r="BA26" s="130">
        <v>-1960.8070000000002</v>
      </c>
      <c r="BC26" s="127" t="s">
        <v>313</v>
      </c>
    </row>
    <row r="27" spans="1:56" s="80" customFormat="1" hidden="1" x14ac:dyDescent="0.25">
      <c r="A27" s="117" t="s">
        <v>46</v>
      </c>
      <c r="B27" s="80" t="s">
        <v>47</v>
      </c>
      <c r="C27" s="118">
        <v>0</v>
      </c>
      <c r="D27" s="118">
        <v>0</v>
      </c>
      <c r="E27" s="118">
        <f t="shared" si="3"/>
        <v>292.5</v>
      </c>
      <c r="F27" s="118"/>
      <c r="G27" s="118"/>
      <c r="H27" s="118">
        <f t="shared" si="4"/>
        <v>292.5</v>
      </c>
      <c r="I27" s="118">
        <f t="shared" si="5"/>
        <v>0</v>
      </c>
      <c r="J27" s="119">
        <f t="shared" si="6"/>
        <v>0</v>
      </c>
      <c r="K27" s="118">
        <f t="shared" si="7"/>
        <v>0</v>
      </c>
      <c r="L27" s="118">
        <f t="shared" si="0"/>
        <v>0</v>
      </c>
      <c r="M27" s="118">
        <f t="shared" si="8"/>
        <v>45.15</v>
      </c>
      <c r="N27" s="118">
        <f t="shared" si="9"/>
        <v>0</v>
      </c>
      <c r="O27" s="118">
        <f t="shared" si="10"/>
        <v>0</v>
      </c>
      <c r="P27" s="118">
        <f t="shared" si="11"/>
        <v>45.15</v>
      </c>
      <c r="Q27" s="118">
        <f t="shared" si="12"/>
        <v>247.35</v>
      </c>
      <c r="R27" s="120">
        <f t="shared" si="13"/>
        <v>247.35</v>
      </c>
      <c r="S27" s="120">
        <f t="shared" si="14"/>
        <v>144.73499999999999</v>
      </c>
      <c r="T27" s="120">
        <f>+'C&amp;A'!D27*0.02</f>
        <v>0</v>
      </c>
      <c r="U27" s="120">
        <f t="shared" si="15"/>
        <v>392.08499999999998</v>
      </c>
      <c r="V27" s="120">
        <f t="shared" si="16"/>
        <v>62.733599999999996</v>
      </c>
      <c r="W27" s="120">
        <f t="shared" si="17"/>
        <v>454.81859999999995</v>
      </c>
      <c r="X27" s="121" t="s">
        <v>190</v>
      </c>
      <c r="Y27" s="121" t="s">
        <v>216</v>
      </c>
      <c r="Z27" s="122" t="s">
        <v>46</v>
      </c>
      <c r="AA27" s="121" t="s">
        <v>122</v>
      </c>
      <c r="AB27" s="121"/>
      <c r="AC27" s="121"/>
      <c r="AD27" s="123">
        <v>0</v>
      </c>
      <c r="AE27" s="121">
        <v>0</v>
      </c>
      <c r="AF27" s="123">
        <v>0</v>
      </c>
      <c r="AG27" s="123">
        <v>292.5</v>
      </c>
      <c r="AH27" s="123">
        <f t="shared" si="1"/>
        <v>0</v>
      </c>
      <c r="AI27" s="123"/>
      <c r="AJ27" s="123"/>
      <c r="AK27" s="124">
        <v>45.15</v>
      </c>
      <c r="AL27" s="125">
        <f t="shared" si="18"/>
        <v>247.35</v>
      </c>
      <c r="AM27" s="123"/>
      <c r="AN27" s="126"/>
      <c r="AO27" s="126"/>
      <c r="AP27" s="126"/>
      <c r="AQ27" s="48"/>
      <c r="AR27" s="48">
        <v>0</v>
      </c>
      <c r="AS27" s="125">
        <v>1447.35</v>
      </c>
      <c r="AT27" s="126">
        <v>0</v>
      </c>
      <c r="AU27" s="125">
        <f t="shared" si="19"/>
        <v>247.35</v>
      </c>
      <c r="AV27" s="126">
        <v>144.73499999999999</v>
      </c>
      <c r="AW27" s="126">
        <v>0</v>
      </c>
      <c r="AX27" s="125">
        <v>1592.0849999999998</v>
      </c>
      <c r="AY27" s="79">
        <v>0</v>
      </c>
      <c r="AZ27" s="79">
        <v>0</v>
      </c>
      <c r="BA27" s="119">
        <v>-1447.35</v>
      </c>
      <c r="BB27" s="109" t="s">
        <v>268</v>
      </c>
      <c r="BC27" s="127" t="s">
        <v>314</v>
      </c>
      <c r="BD27" s="80" t="s">
        <v>268</v>
      </c>
    </row>
    <row r="28" spans="1:56" s="80" customFormat="1" x14ac:dyDescent="0.25">
      <c r="A28" s="117" t="s">
        <v>48</v>
      </c>
      <c r="B28" s="80" t="s">
        <v>49</v>
      </c>
      <c r="C28" s="118">
        <f t="shared" si="2"/>
        <v>22500</v>
      </c>
      <c r="D28" s="118">
        <v>0</v>
      </c>
      <c r="E28" s="118">
        <f t="shared" si="3"/>
        <v>0</v>
      </c>
      <c r="F28" s="118"/>
      <c r="G28" s="118"/>
      <c r="H28" s="118">
        <f t="shared" si="4"/>
        <v>22500</v>
      </c>
      <c r="I28" s="118">
        <f t="shared" si="5"/>
        <v>0</v>
      </c>
      <c r="J28" s="119">
        <f t="shared" si="6"/>
        <v>479.28</v>
      </c>
      <c r="K28" s="118">
        <f t="shared" si="7"/>
        <v>0</v>
      </c>
      <c r="L28" s="118">
        <f t="shared" si="0"/>
        <v>0</v>
      </c>
      <c r="M28" s="118">
        <f t="shared" si="8"/>
        <v>45.15</v>
      </c>
      <c r="N28" s="118">
        <f t="shared" si="9"/>
        <v>323.91000000000003</v>
      </c>
      <c r="O28" s="118">
        <f t="shared" si="10"/>
        <v>2245.4850000000001</v>
      </c>
      <c r="P28" s="118">
        <f t="shared" si="11"/>
        <v>3093.8249999999998</v>
      </c>
      <c r="Q28" s="118">
        <f t="shared" si="12"/>
        <v>19406.174999999999</v>
      </c>
      <c r="R28" s="120">
        <f t="shared" si="13"/>
        <v>22454.85</v>
      </c>
      <c r="S28" s="120">
        <f t="shared" si="14"/>
        <v>0</v>
      </c>
      <c r="T28" s="120">
        <f>+'C&amp;A'!D28*0.02</f>
        <v>21.911999999999999</v>
      </c>
      <c r="U28" s="120">
        <f t="shared" si="15"/>
        <v>22476.761999999999</v>
      </c>
      <c r="V28" s="120">
        <f t="shared" si="16"/>
        <v>3596.2819199999999</v>
      </c>
      <c r="W28" s="120">
        <f t="shared" si="17"/>
        <v>26073.04392</v>
      </c>
      <c r="X28" s="121" t="s">
        <v>236</v>
      </c>
      <c r="Y28" s="121" t="s">
        <v>125</v>
      </c>
      <c r="Z28" s="122">
        <v>3</v>
      </c>
      <c r="AA28" s="121" t="s">
        <v>217</v>
      </c>
      <c r="AB28" s="121" t="s">
        <v>218</v>
      </c>
      <c r="AC28" s="121"/>
      <c r="AD28" s="123">
        <v>1237.2399999999998</v>
      </c>
      <c r="AE28" s="121">
        <v>21262.76</v>
      </c>
      <c r="AF28" s="123">
        <v>22500</v>
      </c>
      <c r="AG28" s="123"/>
      <c r="AH28" s="123">
        <f t="shared" si="1"/>
        <v>0</v>
      </c>
      <c r="AI28" s="123"/>
      <c r="AJ28" s="123"/>
      <c r="AK28" s="124">
        <v>45.15</v>
      </c>
      <c r="AL28" s="125">
        <f t="shared" si="18"/>
        <v>22454.85</v>
      </c>
      <c r="AM28" s="123"/>
      <c r="AN28" s="126"/>
      <c r="AO28" s="126"/>
      <c r="AP28" s="126"/>
      <c r="AQ28" s="48">
        <v>479.28</v>
      </c>
      <c r="AR28" s="48">
        <v>323.91000000000003</v>
      </c>
      <c r="AS28" s="125">
        <v>21651.66</v>
      </c>
      <c r="AT28" s="126">
        <v>2245.4850000000001</v>
      </c>
      <c r="AU28" s="125">
        <f t="shared" si="19"/>
        <v>19406.174999999999</v>
      </c>
      <c r="AV28" s="126">
        <v>0</v>
      </c>
      <c r="AW28" s="126">
        <v>24.744799999999998</v>
      </c>
      <c r="AX28" s="125">
        <v>22479.594799999999</v>
      </c>
      <c r="AY28" s="79">
        <v>1237.2</v>
      </c>
      <c r="AZ28" s="79">
        <v>15874.12</v>
      </c>
      <c r="BA28" s="130">
        <v>-2294.8549999999996</v>
      </c>
      <c r="BC28" s="127" t="s">
        <v>312</v>
      </c>
    </row>
    <row r="29" spans="1:56" s="80" customFormat="1" hidden="1" x14ac:dyDescent="0.25">
      <c r="A29" s="117" t="s">
        <v>50</v>
      </c>
      <c r="B29" s="80" t="s">
        <v>51</v>
      </c>
      <c r="C29" s="118">
        <f t="shared" si="2"/>
        <v>2500</v>
      </c>
      <c r="D29" s="118">
        <v>125.12056780965156</v>
      </c>
      <c r="E29" s="118">
        <f t="shared" si="3"/>
        <v>1000</v>
      </c>
      <c r="F29" s="118"/>
      <c r="G29" s="118"/>
      <c r="H29" s="118">
        <f t="shared" si="4"/>
        <v>3625.1205678096517</v>
      </c>
      <c r="I29" s="118">
        <f t="shared" si="5"/>
        <v>0</v>
      </c>
      <c r="J29" s="119">
        <f t="shared" si="6"/>
        <v>0</v>
      </c>
      <c r="K29" s="118">
        <f t="shared" si="7"/>
        <v>0</v>
      </c>
      <c r="L29" s="118">
        <f t="shared" si="0"/>
        <v>0</v>
      </c>
      <c r="M29" s="118">
        <f t="shared" si="8"/>
        <v>45.15</v>
      </c>
      <c r="N29" s="118">
        <f t="shared" si="9"/>
        <v>0</v>
      </c>
      <c r="O29" s="118">
        <f t="shared" si="10"/>
        <v>0</v>
      </c>
      <c r="P29" s="118">
        <f t="shared" si="11"/>
        <v>45.15</v>
      </c>
      <c r="Q29" s="118">
        <f t="shared" si="12"/>
        <v>3579.9705678096516</v>
      </c>
      <c r="R29" s="120">
        <f t="shared" si="13"/>
        <v>3579.9705678096516</v>
      </c>
      <c r="S29" s="120">
        <f t="shared" si="14"/>
        <v>361.52300000000002</v>
      </c>
      <c r="T29" s="120">
        <f>+'C&amp;A'!D29*0.02</f>
        <v>21.911999999999999</v>
      </c>
      <c r="U29" s="120">
        <f t="shared" si="15"/>
        <v>3963.4055678096515</v>
      </c>
      <c r="V29" s="120">
        <f t="shared" si="16"/>
        <v>634.14489084954425</v>
      </c>
      <c r="W29" s="120">
        <f t="shared" si="17"/>
        <v>4597.550458659196</v>
      </c>
      <c r="X29" s="121" t="s">
        <v>200</v>
      </c>
      <c r="Y29" s="121" t="s">
        <v>143</v>
      </c>
      <c r="Z29" s="121" t="s">
        <v>142</v>
      </c>
      <c r="AA29" s="121" t="s">
        <v>219</v>
      </c>
      <c r="AB29" s="121"/>
      <c r="AC29" s="121"/>
      <c r="AD29" s="123">
        <v>1237.2399999999998</v>
      </c>
      <c r="AE29" s="121">
        <v>1262.7600000000002</v>
      </c>
      <c r="AF29" s="123">
        <v>2500</v>
      </c>
      <c r="AG29" s="123">
        <v>1000</v>
      </c>
      <c r="AH29" s="123">
        <f t="shared" si="1"/>
        <v>125.12056780965156</v>
      </c>
      <c r="AI29" s="123"/>
      <c r="AJ29" s="123"/>
      <c r="AK29" s="124">
        <v>45.15</v>
      </c>
      <c r="AL29" s="125">
        <f t="shared" si="18"/>
        <v>3579.9705678096516</v>
      </c>
      <c r="AM29" s="123"/>
      <c r="AN29" s="126"/>
      <c r="AO29" s="126"/>
      <c r="AP29" s="126"/>
      <c r="AQ29" s="48"/>
      <c r="AR29" s="48">
        <v>0</v>
      </c>
      <c r="AS29" s="125">
        <v>3615.23</v>
      </c>
      <c r="AT29" s="126">
        <v>0</v>
      </c>
      <c r="AU29" s="125">
        <f t="shared" si="19"/>
        <v>3579.9705678096516</v>
      </c>
      <c r="AV29" s="126">
        <v>361.52300000000002</v>
      </c>
      <c r="AW29" s="126">
        <v>24.744799999999998</v>
      </c>
      <c r="AX29" s="125">
        <v>4001.4978000000001</v>
      </c>
      <c r="AY29" s="79">
        <v>1237.2</v>
      </c>
      <c r="AZ29" s="79">
        <v>1423.18</v>
      </c>
      <c r="BA29" s="119">
        <v>-954.84999999999991</v>
      </c>
      <c r="BC29" s="127" t="s">
        <v>313</v>
      </c>
    </row>
    <row r="30" spans="1:56" s="80" customFormat="1" hidden="1" x14ac:dyDescent="0.25">
      <c r="A30" s="117" t="s">
        <v>52</v>
      </c>
      <c r="B30" s="80" t="s">
        <v>53</v>
      </c>
      <c r="C30" s="118">
        <f t="shared" si="2"/>
        <v>1999.9999999999998</v>
      </c>
      <c r="D30" s="118">
        <v>0</v>
      </c>
      <c r="E30" s="118">
        <f t="shared" si="3"/>
        <v>2000</v>
      </c>
      <c r="F30" s="118"/>
      <c r="G30" s="118"/>
      <c r="H30" s="118">
        <f t="shared" si="4"/>
        <v>4000</v>
      </c>
      <c r="I30" s="118">
        <f t="shared" si="5"/>
        <v>0</v>
      </c>
      <c r="J30" s="119">
        <f t="shared" si="6"/>
        <v>0</v>
      </c>
      <c r="K30" s="118">
        <f t="shared" si="7"/>
        <v>0</v>
      </c>
      <c r="L30" s="118">
        <f t="shared" si="0"/>
        <v>0</v>
      </c>
      <c r="M30" s="118">
        <f t="shared" si="8"/>
        <v>45.15</v>
      </c>
      <c r="N30" s="118">
        <f t="shared" si="9"/>
        <v>0</v>
      </c>
      <c r="O30" s="118">
        <f t="shared" si="10"/>
        <v>0</v>
      </c>
      <c r="P30" s="118">
        <f t="shared" si="11"/>
        <v>45.15</v>
      </c>
      <c r="Q30" s="118">
        <f t="shared" si="12"/>
        <v>3954.85</v>
      </c>
      <c r="R30" s="120">
        <f t="shared" si="13"/>
        <v>3954.85</v>
      </c>
      <c r="S30" s="120">
        <f t="shared" si="14"/>
        <v>414.358</v>
      </c>
      <c r="T30" s="120">
        <f>+'C&amp;A'!D30*0.02</f>
        <v>21.911999999999999</v>
      </c>
      <c r="U30" s="120">
        <f t="shared" si="15"/>
        <v>4391.12</v>
      </c>
      <c r="V30" s="120">
        <f t="shared" si="16"/>
        <v>702.57920000000001</v>
      </c>
      <c r="W30" s="120">
        <f t="shared" si="17"/>
        <v>5093.6992</v>
      </c>
      <c r="X30" s="121" t="s">
        <v>192</v>
      </c>
      <c r="Y30" s="121" t="s">
        <v>220</v>
      </c>
      <c r="Z30" s="122" t="s">
        <v>52</v>
      </c>
      <c r="AA30" s="121" t="s">
        <v>221</v>
      </c>
      <c r="AB30" s="121"/>
      <c r="AC30" s="121"/>
      <c r="AD30" s="123">
        <v>1237.2399999999998</v>
      </c>
      <c r="AE30" s="121">
        <v>762.76</v>
      </c>
      <c r="AF30" s="123">
        <v>1999.9999999999998</v>
      </c>
      <c r="AG30" s="123">
        <v>2000</v>
      </c>
      <c r="AH30" s="123">
        <f t="shared" si="1"/>
        <v>0</v>
      </c>
      <c r="AI30" s="123"/>
      <c r="AJ30" s="123"/>
      <c r="AK30" s="124">
        <v>45.15</v>
      </c>
      <c r="AL30" s="125">
        <f t="shared" si="18"/>
        <v>3954.85</v>
      </c>
      <c r="AM30" s="123"/>
      <c r="AN30" s="126"/>
      <c r="AO30" s="126"/>
      <c r="AP30" s="126"/>
      <c r="AQ30" s="48"/>
      <c r="AR30" s="48">
        <v>0</v>
      </c>
      <c r="AS30" s="125">
        <v>4143.58</v>
      </c>
      <c r="AT30" s="126">
        <v>0</v>
      </c>
      <c r="AU30" s="125">
        <f t="shared" si="19"/>
        <v>3954.85</v>
      </c>
      <c r="AV30" s="126">
        <v>414.358</v>
      </c>
      <c r="AW30" s="126">
        <v>24.744799999999998</v>
      </c>
      <c r="AX30" s="125">
        <v>4582.6828000000005</v>
      </c>
      <c r="AY30" s="79">
        <v>1237.2</v>
      </c>
      <c r="AZ30" s="79">
        <v>951.53</v>
      </c>
      <c r="BA30" s="119">
        <v>-1954.85</v>
      </c>
      <c r="BC30" s="127" t="s">
        <v>311</v>
      </c>
    </row>
    <row r="31" spans="1:56" s="80" customFormat="1" hidden="1" x14ac:dyDescent="0.25">
      <c r="A31" s="117" t="s">
        <v>54</v>
      </c>
      <c r="B31" s="80" t="s">
        <v>55</v>
      </c>
      <c r="C31" s="118">
        <f t="shared" si="2"/>
        <v>1200</v>
      </c>
      <c r="D31" s="118">
        <v>0</v>
      </c>
      <c r="E31" s="118">
        <f t="shared" si="3"/>
        <v>3974</v>
      </c>
      <c r="F31" s="118"/>
      <c r="G31" s="118"/>
      <c r="H31" s="118">
        <f t="shared" si="4"/>
        <v>5174</v>
      </c>
      <c r="I31" s="118">
        <f t="shared" si="5"/>
        <v>0</v>
      </c>
      <c r="J31" s="119">
        <f t="shared" si="6"/>
        <v>0</v>
      </c>
      <c r="K31" s="118">
        <f t="shared" si="7"/>
        <v>0</v>
      </c>
      <c r="L31" s="118">
        <f t="shared" si="0"/>
        <v>0</v>
      </c>
      <c r="M31" s="118">
        <f t="shared" si="8"/>
        <v>45.15</v>
      </c>
      <c r="N31" s="118">
        <f t="shared" si="9"/>
        <v>0</v>
      </c>
      <c r="O31" s="118">
        <f t="shared" si="10"/>
        <v>525.39700000000005</v>
      </c>
      <c r="P31" s="118">
        <f t="shared" si="11"/>
        <v>570.54700000000003</v>
      </c>
      <c r="Q31" s="118">
        <f t="shared" si="12"/>
        <v>4603.4529999999995</v>
      </c>
      <c r="R31" s="120">
        <f t="shared" si="13"/>
        <v>5128.8500000000004</v>
      </c>
      <c r="S31" s="120">
        <f t="shared" si="14"/>
        <v>0</v>
      </c>
      <c r="T31" s="120">
        <f>+'C&amp;A'!D31*0.02</f>
        <v>21.911999999999999</v>
      </c>
      <c r="U31" s="120">
        <f t="shared" si="15"/>
        <v>5150.7620000000006</v>
      </c>
      <c r="V31" s="120">
        <f t="shared" si="16"/>
        <v>824.12192000000016</v>
      </c>
      <c r="W31" s="120">
        <f t="shared" si="17"/>
        <v>5974.8839200000011</v>
      </c>
      <c r="X31" s="121" t="s">
        <v>190</v>
      </c>
      <c r="Y31" s="121" t="s">
        <v>222</v>
      </c>
      <c r="Z31" s="122" t="s">
        <v>54</v>
      </c>
      <c r="AA31" s="121" t="s">
        <v>122</v>
      </c>
      <c r="AB31" s="121"/>
      <c r="AC31" s="121"/>
      <c r="AD31" s="123">
        <v>1237.2399999999998</v>
      </c>
      <c r="AE31" s="121">
        <v>-37.239999999999782</v>
      </c>
      <c r="AF31" s="123">
        <v>1200</v>
      </c>
      <c r="AG31" s="123">
        <v>3974</v>
      </c>
      <c r="AH31" s="123">
        <f t="shared" si="1"/>
        <v>0</v>
      </c>
      <c r="AI31" s="123"/>
      <c r="AJ31" s="123"/>
      <c r="AK31" s="124">
        <v>45.15</v>
      </c>
      <c r="AL31" s="125">
        <f t="shared" si="18"/>
        <v>5128.8500000000004</v>
      </c>
      <c r="AM31" s="123"/>
      <c r="AN31" s="126"/>
      <c r="AO31" s="126"/>
      <c r="AP31" s="126"/>
      <c r="AQ31" s="48"/>
      <c r="AR31" s="48">
        <v>0</v>
      </c>
      <c r="AS31" s="125">
        <v>5253.97</v>
      </c>
      <c r="AT31" s="126">
        <v>525.39700000000005</v>
      </c>
      <c r="AU31" s="125">
        <f t="shared" si="19"/>
        <v>4603.4530000000004</v>
      </c>
      <c r="AV31" s="126">
        <v>0</v>
      </c>
      <c r="AW31" s="126">
        <v>24.744799999999998</v>
      </c>
      <c r="AX31" s="125">
        <v>5278.7148000000007</v>
      </c>
      <c r="AY31" s="79">
        <v>1237.2</v>
      </c>
      <c r="AZ31" s="79">
        <v>2033.92</v>
      </c>
      <c r="BA31" s="130">
        <v>-1457.4530000000004</v>
      </c>
      <c r="BC31" s="127" t="s">
        <v>314</v>
      </c>
    </row>
    <row r="32" spans="1:56" s="80" customFormat="1" hidden="1" x14ac:dyDescent="0.25">
      <c r="A32" s="131" t="s">
        <v>160</v>
      </c>
      <c r="B32" s="80" t="s">
        <v>158</v>
      </c>
      <c r="C32" s="118">
        <f t="shared" si="2"/>
        <v>2000</v>
      </c>
      <c r="D32" s="118">
        <v>0</v>
      </c>
      <c r="E32" s="118">
        <f t="shared" si="3"/>
        <v>2000</v>
      </c>
      <c r="F32" s="118"/>
      <c r="G32" s="118"/>
      <c r="H32" s="118">
        <f t="shared" si="4"/>
        <v>4000</v>
      </c>
      <c r="I32" s="118">
        <f t="shared" si="5"/>
        <v>0</v>
      </c>
      <c r="J32" s="119">
        <f t="shared" si="6"/>
        <v>0</v>
      </c>
      <c r="K32" s="118">
        <f t="shared" si="7"/>
        <v>0</v>
      </c>
      <c r="L32" s="118">
        <f t="shared" si="0"/>
        <v>0</v>
      </c>
      <c r="M32" s="118">
        <f t="shared" si="8"/>
        <v>45.15</v>
      </c>
      <c r="N32" s="118">
        <f t="shared" si="9"/>
        <v>0</v>
      </c>
      <c r="O32" s="118">
        <f t="shared" si="10"/>
        <v>0</v>
      </c>
      <c r="P32" s="118">
        <f t="shared" si="11"/>
        <v>45.15</v>
      </c>
      <c r="Q32" s="118">
        <f t="shared" si="12"/>
        <v>3954.85</v>
      </c>
      <c r="R32" s="120">
        <f t="shared" si="13"/>
        <v>3954.85</v>
      </c>
      <c r="S32" s="120">
        <f t="shared" si="14"/>
        <v>414.358</v>
      </c>
      <c r="T32" s="120">
        <f>+'C&amp;A'!D32*0.02</f>
        <v>21.911999999999999</v>
      </c>
      <c r="U32" s="120">
        <f t="shared" si="15"/>
        <v>4391.12</v>
      </c>
      <c r="V32" s="120">
        <f t="shared" si="16"/>
        <v>702.57920000000001</v>
      </c>
      <c r="W32" s="120">
        <f t="shared" si="17"/>
        <v>5093.6992</v>
      </c>
      <c r="X32" s="121" t="s">
        <v>192</v>
      </c>
      <c r="Y32" s="121" t="s">
        <v>223</v>
      </c>
      <c r="Z32" s="122" t="s">
        <v>160</v>
      </c>
      <c r="AA32" s="121" t="s">
        <v>221</v>
      </c>
      <c r="AB32" s="121"/>
      <c r="AC32" s="121"/>
      <c r="AD32" s="123">
        <v>1237.24</v>
      </c>
      <c r="AE32" s="121">
        <v>762.76</v>
      </c>
      <c r="AF32" s="123">
        <v>2000</v>
      </c>
      <c r="AG32" s="123">
        <v>2000</v>
      </c>
      <c r="AH32" s="123">
        <f t="shared" si="1"/>
        <v>0</v>
      </c>
      <c r="AI32" s="123"/>
      <c r="AJ32" s="123"/>
      <c r="AK32" s="124">
        <v>45.15</v>
      </c>
      <c r="AL32" s="125">
        <f t="shared" si="18"/>
        <v>3954.85</v>
      </c>
      <c r="AM32" s="123"/>
      <c r="AN32" s="126"/>
      <c r="AO32" s="126"/>
      <c r="AP32" s="126"/>
      <c r="AQ32" s="48"/>
      <c r="AR32" s="48">
        <v>0</v>
      </c>
      <c r="AS32" s="125">
        <v>4143.58</v>
      </c>
      <c r="AT32" s="126">
        <v>0</v>
      </c>
      <c r="AU32" s="125">
        <f t="shared" si="19"/>
        <v>3954.85</v>
      </c>
      <c r="AV32" s="126">
        <v>414.358</v>
      </c>
      <c r="AW32" s="126">
        <v>24.744800000000001</v>
      </c>
      <c r="AX32" s="125">
        <v>4582.6828000000005</v>
      </c>
      <c r="AY32" s="79">
        <v>1237.2</v>
      </c>
      <c r="AZ32" s="79">
        <v>951.53</v>
      </c>
      <c r="BA32" s="119">
        <v>-1954.85</v>
      </c>
      <c r="BC32" s="127" t="s">
        <v>311</v>
      </c>
    </row>
    <row r="33" spans="1:55" s="80" customFormat="1" hidden="1" x14ac:dyDescent="0.25">
      <c r="A33" s="117" t="s">
        <v>56</v>
      </c>
      <c r="B33" s="80" t="s">
        <v>57</v>
      </c>
      <c r="C33" s="118">
        <f t="shared" si="2"/>
        <v>2250</v>
      </c>
      <c r="D33" s="118">
        <v>0</v>
      </c>
      <c r="E33" s="118">
        <f t="shared" si="3"/>
        <v>2000</v>
      </c>
      <c r="F33" s="118"/>
      <c r="G33" s="118"/>
      <c r="H33" s="118">
        <f t="shared" si="4"/>
        <v>4250</v>
      </c>
      <c r="I33" s="118">
        <f t="shared" si="5"/>
        <v>0</v>
      </c>
      <c r="J33" s="119">
        <f t="shared" si="6"/>
        <v>0</v>
      </c>
      <c r="K33" s="118">
        <f t="shared" si="7"/>
        <v>0</v>
      </c>
      <c r="L33" s="118">
        <f t="shared" si="0"/>
        <v>0</v>
      </c>
      <c r="M33" s="118">
        <f t="shared" si="8"/>
        <v>45.15</v>
      </c>
      <c r="N33" s="118">
        <f t="shared" si="9"/>
        <v>0</v>
      </c>
      <c r="O33" s="118">
        <f t="shared" si="10"/>
        <v>0</v>
      </c>
      <c r="P33" s="118">
        <f t="shared" si="11"/>
        <v>45.15</v>
      </c>
      <c r="Q33" s="118">
        <f t="shared" si="12"/>
        <v>4204.8500000000004</v>
      </c>
      <c r="R33" s="120">
        <f t="shared" si="13"/>
        <v>4204.8500000000004</v>
      </c>
      <c r="S33" s="120">
        <f t="shared" si="14"/>
        <v>437.96300000000002</v>
      </c>
      <c r="T33" s="120">
        <f>+'C&amp;A'!D33*0.02</f>
        <v>21.911999999999999</v>
      </c>
      <c r="U33" s="120">
        <f t="shared" si="15"/>
        <v>4664.7250000000004</v>
      </c>
      <c r="V33" s="120">
        <f t="shared" si="16"/>
        <v>746.35600000000011</v>
      </c>
      <c r="W33" s="120">
        <f t="shared" si="17"/>
        <v>5411.0810000000001</v>
      </c>
      <c r="X33" s="121" t="s">
        <v>192</v>
      </c>
      <c r="Y33" s="121" t="s">
        <v>130</v>
      </c>
      <c r="Z33" s="122" t="s">
        <v>56</v>
      </c>
      <c r="AA33" s="121" t="s">
        <v>224</v>
      </c>
      <c r="AB33" s="121" t="s">
        <v>194</v>
      </c>
      <c r="AC33" s="121"/>
      <c r="AD33" s="123">
        <v>1237.2399999999998</v>
      </c>
      <c r="AE33" s="121">
        <v>1012.7600000000002</v>
      </c>
      <c r="AF33" s="123">
        <v>2250</v>
      </c>
      <c r="AG33" s="123">
        <v>2000</v>
      </c>
      <c r="AH33" s="123">
        <f t="shared" si="1"/>
        <v>0</v>
      </c>
      <c r="AI33" s="123"/>
      <c r="AJ33" s="123"/>
      <c r="AK33" s="124">
        <v>45.15</v>
      </c>
      <c r="AL33" s="125">
        <f t="shared" si="18"/>
        <v>4204.8500000000004</v>
      </c>
      <c r="AM33" s="123"/>
      <c r="AN33" s="126"/>
      <c r="AO33" s="126"/>
      <c r="AP33" s="126"/>
      <c r="AQ33" s="48"/>
      <c r="AR33" s="48">
        <v>0</v>
      </c>
      <c r="AS33" s="125">
        <v>4379.63</v>
      </c>
      <c r="AT33" s="126">
        <v>0</v>
      </c>
      <c r="AU33" s="125">
        <f t="shared" si="19"/>
        <v>4204.8500000000004</v>
      </c>
      <c r="AV33" s="126">
        <v>437.96300000000002</v>
      </c>
      <c r="AW33" s="126">
        <v>24.744799999999998</v>
      </c>
      <c r="AX33" s="125">
        <v>4842.3378000000002</v>
      </c>
      <c r="AY33" s="79">
        <v>1237.2</v>
      </c>
      <c r="AZ33" s="79">
        <v>1187.58</v>
      </c>
      <c r="BA33" s="119">
        <v>-1954.8500000000004</v>
      </c>
      <c r="BC33" s="127" t="s">
        <v>312</v>
      </c>
    </row>
    <row r="34" spans="1:55" s="80" customFormat="1" hidden="1" x14ac:dyDescent="0.25">
      <c r="A34" s="117" t="s">
        <v>58</v>
      </c>
      <c r="B34" s="80" t="s">
        <v>59</v>
      </c>
      <c r="C34" s="118">
        <f t="shared" si="2"/>
        <v>2000</v>
      </c>
      <c r="D34" s="118">
        <v>125.12056780965156</v>
      </c>
      <c r="E34" s="118">
        <f t="shared" si="3"/>
        <v>1505</v>
      </c>
      <c r="F34" s="118"/>
      <c r="G34" s="118"/>
      <c r="H34" s="118">
        <f t="shared" si="4"/>
        <v>3630.1205678096517</v>
      </c>
      <c r="I34" s="118">
        <f t="shared" si="5"/>
        <v>0</v>
      </c>
      <c r="J34" s="119">
        <f t="shared" si="6"/>
        <v>0</v>
      </c>
      <c r="K34" s="118">
        <f t="shared" si="7"/>
        <v>0</v>
      </c>
      <c r="L34" s="118">
        <f t="shared" si="0"/>
        <v>0</v>
      </c>
      <c r="M34" s="118">
        <f t="shared" si="8"/>
        <v>45.15</v>
      </c>
      <c r="N34" s="118">
        <f t="shared" si="9"/>
        <v>0</v>
      </c>
      <c r="O34" s="118">
        <f t="shared" si="10"/>
        <v>0</v>
      </c>
      <c r="P34" s="118">
        <f t="shared" si="11"/>
        <v>45.15</v>
      </c>
      <c r="Q34" s="118">
        <f t="shared" si="12"/>
        <v>3584.9705678096516</v>
      </c>
      <c r="R34" s="120">
        <f t="shared" si="13"/>
        <v>3584.9705678096516</v>
      </c>
      <c r="S34" s="120">
        <f t="shared" si="14"/>
        <v>364.858</v>
      </c>
      <c r="T34" s="120">
        <f>+'C&amp;A'!D34*0.02</f>
        <v>21.911999999999999</v>
      </c>
      <c r="U34" s="120">
        <f t="shared" si="15"/>
        <v>3971.7405678096516</v>
      </c>
      <c r="V34" s="120">
        <f t="shared" si="16"/>
        <v>635.4784908495443</v>
      </c>
      <c r="W34" s="120">
        <f t="shared" si="17"/>
        <v>4607.219058659196</v>
      </c>
      <c r="X34" s="121" t="s">
        <v>225</v>
      </c>
      <c r="Y34" s="121" t="s">
        <v>226</v>
      </c>
      <c r="Z34" s="122" t="s">
        <v>58</v>
      </c>
      <c r="AA34" s="121" t="s">
        <v>227</v>
      </c>
      <c r="AB34" s="121"/>
      <c r="AC34" s="121"/>
      <c r="AD34" s="123">
        <v>1237.2399999999998</v>
      </c>
      <c r="AE34" s="121">
        <v>762.76000000000022</v>
      </c>
      <c r="AF34" s="123">
        <v>2000</v>
      </c>
      <c r="AG34" s="123">
        <v>1505</v>
      </c>
      <c r="AH34" s="123">
        <f t="shared" si="1"/>
        <v>125.12056780965156</v>
      </c>
      <c r="AI34" s="123"/>
      <c r="AJ34" s="123"/>
      <c r="AK34" s="124">
        <v>45.15</v>
      </c>
      <c r="AL34" s="125">
        <f t="shared" si="18"/>
        <v>3584.9705678096516</v>
      </c>
      <c r="AM34" s="123"/>
      <c r="AN34" s="126"/>
      <c r="AO34" s="126"/>
      <c r="AP34" s="126"/>
      <c r="AQ34" s="123"/>
      <c r="AR34" s="123">
        <v>0</v>
      </c>
      <c r="AS34" s="125">
        <v>3648.58</v>
      </c>
      <c r="AT34" s="126">
        <v>0</v>
      </c>
      <c r="AU34" s="125">
        <f t="shared" si="19"/>
        <v>3584.9705678096516</v>
      </c>
      <c r="AV34" s="126">
        <v>364.858</v>
      </c>
      <c r="AW34" s="126">
        <v>24.744799999999998</v>
      </c>
      <c r="AX34" s="125">
        <v>4038.1828</v>
      </c>
      <c r="AY34" s="79">
        <v>1237.2</v>
      </c>
      <c r="AZ34" s="79">
        <v>2191.5300000000002</v>
      </c>
      <c r="BA34" s="119">
        <v>-219.84999999999945</v>
      </c>
      <c r="BC34" s="127" t="s">
        <v>311</v>
      </c>
    </row>
    <row r="35" spans="1:55" s="80" customFormat="1" hidden="1" x14ac:dyDescent="0.25">
      <c r="A35" s="117" t="s">
        <v>60</v>
      </c>
      <c r="B35" s="80" t="s">
        <v>61</v>
      </c>
      <c r="C35" s="118">
        <f t="shared" si="2"/>
        <v>1200</v>
      </c>
      <c r="D35" s="118">
        <v>160.37636329558455</v>
      </c>
      <c r="E35" s="118">
        <f t="shared" si="3"/>
        <v>1250.5999999999999</v>
      </c>
      <c r="F35" s="118"/>
      <c r="G35" s="118"/>
      <c r="H35" s="118">
        <f t="shared" si="4"/>
        <v>2610.9763632955846</v>
      </c>
      <c r="I35" s="118">
        <f t="shared" si="5"/>
        <v>0</v>
      </c>
      <c r="J35" s="119">
        <f t="shared" si="6"/>
        <v>0</v>
      </c>
      <c r="K35" s="118">
        <f t="shared" si="7"/>
        <v>0</v>
      </c>
      <c r="L35" s="118">
        <f t="shared" si="0"/>
        <v>0</v>
      </c>
      <c r="M35" s="118">
        <f t="shared" si="8"/>
        <v>45.15</v>
      </c>
      <c r="N35" s="118">
        <f t="shared" si="9"/>
        <v>0</v>
      </c>
      <c r="O35" s="118">
        <f t="shared" si="10"/>
        <v>0</v>
      </c>
      <c r="P35" s="118">
        <f t="shared" si="11"/>
        <v>45.15</v>
      </c>
      <c r="Q35" s="118">
        <f t="shared" si="12"/>
        <v>2565.8263632955845</v>
      </c>
      <c r="R35" s="120">
        <f t="shared" si="13"/>
        <v>2565.8263632955845</v>
      </c>
      <c r="S35" s="120">
        <f t="shared" si="14"/>
        <v>253.05699999999999</v>
      </c>
      <c r="T35" s="120">
        <f>+'C&amp;A'!D35*0.02</f>
        <v>21.911999999999999</v>
      </c>
      <c r="U35" s="120">
        <f t="shared" si="15"/>
        <v>2840.7953632955841</v>
      </c>
      <c r="V35" s="120">
        <f t="shared" si="16"/>
        <v>454.52725812729346</v>
      </c>
      <c r="W35" s="120">
        <f t="shared" si="17"/>
        <v>3295.3226214228775</v>
      </c>
      <c r="X35" s="121" t="s">
        <v>190</v>
      </c>
      <c r="Y35" s="121" t="s">
        <v>228</v>
      </c>
      <c r="Z35" s="122" t="s">
        <v>60</v>
      </c>
      <c r="AA35" s="121" t="s">
        <v>121</v>
      </c>
      <c r="AB35" s="121"/>
      <c r="AC35" s="121"/>
      <c r="AD35" s="123">
        <v>1200</v>
      </c>
      <c r="AE35" s="121"/>
      <c r="AF35" s="123">
        <v>1200</v>
      </c>
      <c r="AG35" s="123">
        <v>1250.5999999999999</v>
      </c>
      <c r="AH35" s="123">
        <f t="shared" si="1"/>
        <v>160.37636329558455</v>
      </c>
      <c r="AI35" s="123"/>
      <c r="AJ35" s="123"/>
      <c r="AK35" s="124">
        <v>45.15</v>
      </c>
      <c r="AL35" s="125">
        <f t="shared" si="18"/>
        <v>2565.8263632955845</v>
      </c>
      <c r="AM35" s="123"/>
      <c r="AN35" s="126"/>
      <c r="AO35" s="126"/>
      <c r="AP35" s="126"/>
      <c r="AQ35" s="48"/>
      <c r="AR35" s="48">
        <v>0</v>
      </c>
      <c r="AS35" s="125">
        <v>2530.5699999999997</v>
      </c>
      <c r="AT35" s="126">
        <v>0</v>
      </c>
      <c r="AU35" s="125">
        <f t="shared" si="19"/>
        <v>2565.8263632955845</v>
      </c>
      <c r="AV35" s="126">
        <v>253.05699999999999</v>
      </c>
      <c r="AW35" s="126">
        <v>24</v>
      </c>
      <c r="AX35" s="125">
        <v>2807.6269999999995</v>
      </c>
      <c r="AY35" s="79">
        <v>1237.2</v>
      </c>
      <c r="AZ35" s="79">
        <v>2049.25</v>
      </c>
      <c r="BA35" s="130">
        <v>755.88000000000011</v>
      </c>
      <c r="BC35" s="127" t="s">
        <v>314</v>
      </c>
    </row>
    <row r="36" spans="1:55" s="80" customFormat="1" hidden="1" x14ac:dyDescent="0.25">
      <c r="A36" s="117" t="s">
        <v>62</v>
      </c>
      <c r="B36" s="80" t="s">
        <v>63</v>
      </c>
      <c r="C36" s="118">
        <f t="shared" si="2"/>
        <v>2000</v>
      </c>
      <c r="D36" s="118">
        <v>0</v>
      </c>
      <c r="E36" s="118">
        <f t="shared" si="3"/>
        <v>2000</v>
      </c>
      <c r="F36" s="118"/>
      <c r="G36" s="118"/>
      <c r="H36" s="118">
        <f t="shared" si="4"/>
        <v>4000</v>
      </c>
      <c r="I36" s="118">
        <f t="shared" si="5"/>
        <v>0</v>
      </c>
      <c r="J36" s="119">
        <f t="shared" si="6"/>
        <v>0</v>
      </c>
      <c r="K36" s="118">
        <f t="shared" si="7"/>
        <v>0</v>
      </c>
      <c r="L36" s="118">
        <f t="shared" si="0"/>
        <v>0</v>
      </c>
      <c r="M36" s="118">
        <f t="shared" si="8"/>
        <v>45.15</v>
      </c>
      <c r="N36" s="118">
        <f t="shared" si="9"/>
        <v>313.89999999999998</v>
      </c>
      <c r="O36" s="118">
        <f t="shared" si="10"/>
        <v>0</v>
      </c>
      <c r="P36" s="118">
        <f t="shared" si="11"/>
        <v>359.04999999999995</v>
      </c>
      <c r="Q36" s="118">
        <f t="shared" si="12"/>
        <v>3640.95</v>
      </c>
      <c r="R36" s="120">
        <f t="shared" si="13"/>
        <v>3954.85</v>
      </c>
      <c r="S36" s="120">
        <f t="shared" si="14"/>
        <v>414.358</v>
      </c>
      <c r="T36" s="120">
        <f>+'C&amp;A'!D36*0.02</f>
        <v>21.911999999999999</v>
      </c>
      <c r="U36" s="120">
        <f t="shared" si="15"/>
        <v>4391.12</v>
      </c>
      <c r="V36" s="120">
        <f t="shared" si="16"/>
        <v>702.57920000000001</v>
      </c>
      <c r="W36" s="120">
        <f t="shared" si="17"/>
        <v>5093.6992</v>
      </c>
      <c r="X36" s="121" t="s">
        <v>192</v>
      </c>
      <c r="Y36" s="121" t="s">
        <v>129</v>
      </c>
      <c r="Z36" s="122" t="s">
        <v>62</v>
      </c>
      <c r="AA36" s="121" t="s">
        <v>229</v>
      </c>
      <c r="AB36" s="121"/>
      <c r="AC36" s="121"/>
      <c r="AD36" s="123">
        <v>1237.2399999999998</v>
      </c>
      <c r="AE36" s="121">
        <v>762.76000000000022</v>
      </c>
      <c r="AF36" s="123">
        <v>2000</v>
      </c>
      <c r="AG36" s="123">
        <v>2000</v>
      </c>
      <c r="AH36" s="123">
        <f t="shared" si="1"/>
        <v>0</v>
      </c>
      <c r="AI36" s="123"/>
      <c r="AJ36" s="123"/>
      <c r="AK36" s="124">
        <v>45.15</v>
      </c>
      <c r="AL36" s="125">
        <f t="shared" si="18"/>
        <v>3954.85</v>
      </c>
      <c r="AM36" s="123"/>
      <c r="AN36" s="126"/>
      <c r="AO36" s="126"/>
      <c r="AP36" s="126"/>
      <c r="AQ36" s="48"/>
      <c r="AR36" s="48">
        <v>313.89999999999998</v>
      </c>
      <c r="AS36" s="125">
        <v>3829.68</v>
      </c>
      <c r="AT36" s="126">
        <v>0</v>
      </c>
      <c r="AU36" s="125">
        <f t="shared" si="19"/>
        <v>3640.95</v>
      </c>
      <c r="AV36" s="126">
        <v>414.358</v>
      </c>
      <c r="AW36" s="126">
        <v>24.744799999999998</v>
      </c>
      <c r="AX36" s="125">
        <v>4582.6828000000005</v>
      </c>
      <c r="AY36" s="79">
        <v>1237.2</v>
      </c>
      <c r="AZ36" s="79">
        <v>637.63</v>
      </c>
      <c r="BA36" s="119">
        <v>-1954.85</v>
      </c>
      <c r="BC36" s="127" t="s">
        <v>313</v>
      </c>
    </row>
    <row r="37" spans="1:55" s="80" customFormat="1" hidden="1" x14ac:dyDescent="0.25">
      <c r="A37" s="117" t="s">
        <v>64</v>
      </c>
      <c r="B37" s="80" t="s">
        <v>65</v>
      </c>
      <c r="C37" s="118">
        <f t="shared" si="2"/>
        <v>1200</v>
      </c>
      <c r="D37" s="118">
        <v>145.37389713135775</v>
      </c>
      <c r="E37" s="118">
        <f t="shared" si="3"/>
        <v>1731.73</v>
      </c>
      <c r="F37" s="118"/>
      <c r="G37" s="118"/>
      <c r="H37" s="118">
        <f t="shared" si="4"/>
        <v>3077.1038971313578</v>
      </c>
      <c r="I37" s="118">
        <f t="shared" si="5"/>
        <v>0</v>
      </c>
      <c r="J37" s="119">
        <f t="shared" si="6"/>
        <v>0</v>
      </c>
      <c r="K37" s="118">
        <f t="shared" si="7"/>
        <v>0</v>
      </c>
      <c r="L37" s="118">
        <f t="shared" si="0"/>
        <v>0</v>
      </c>
      <c r="M37" s="118">
        <f t="shared" si="8"/>
        <v>45.15</v>
      </c>
      <c r="N37" s="118">
        <f t="shared" si="9"/>
        <v>215.92</v>
      </c>
      <c r="O37" s="118">
        <f t="shared" si="10"/>
        <v>0</v>
      </c>
      <c r="P37" s="118">
        <f t="shared" si="11"/>
        <v>261.07</v>
      </c>
      <c r="Q37" s="118">
        <f t="shared" si="12"/>
        <v>2816.0338971313577</v>
      </c>
      <c r="R37" s="120">
        <f t="shared" si="13"/>
        <v>3031.9538971313577</v>
      </c>
      <c r="S37" s="120">
        <f t="shared" si="14"/>
        <v>301.17</v>
      </c>
      <c r="T37" s="120">
        <f>+'C&amp;A'!D37*0.02</f>
        <v>21.911999999999999</v>
      </c>
      <c r="U37" s="120">
        <f t="shared" si="15"/>
        <v>3355.0358971313576</v>
      </c>
      <c r="V37" s="120">
        <f t="shared" si="16"/>
        <v>536.80574354101725</v>
      </c>
      <c r="W37" s="120">
        <f t="shared" si="17"/>
        <v>3891.841640672375</v>
      </c>
      <c r="X37" s="121" t="s">
        <v>190</v>
      </c>
      <c r="Y37" s="121" t="s">
        <v>295</v>
      </c>
      <c r="Z37" s="122" t="s">
        <v>64</v>
      </c>
      <c r="AA37" s="121" t="s">
        <v>122</v>
      </c>
      <c r="AB37" s="121"/>
      <c r="AC37" s="121"/>
      <c r="AD37" s="123">
        <v>1237.2399999999998</v>
      </c>
      <c r="AE37" s="121">
        <v>-37.239999999999782</v>
      </c>
      <c r="AF37" s="123">
        <v>1200</v>
      </c>
      <c r="AG37" s="123">
        <v>1731.73</v>
      </c>
      <c r="AH37" s="123">
        <f t="shared" si="1"/>
        <v>145.37389713135775</v>
      </c>
      <c r="AI37" s="123"/>
      <c r="AJ37" s="123"/>
      <c r="AK37" s="124">
        <v>45.15</v>
      </c>
      <c r="AL37" s="125">
        <f t="shared" si="18"/>
        <v>3031.9538971313577</v>
      </c>
      <c r="AM37" s="123"/>
      <c r="AN37" s="126"/>
      <c r="AO37" s="126"/>
      <c r="AP37" s="126"/>
      <c r="AQ37" s="48"/>
      <c r="AR37" s="48">
        <v>215.92</v>
      </c>
      <c r="AS37" s="125">
        <v>2795.7799999999997</v>
      </c>
      <c r="AT37" s="126">
        <v>0</v>
      </c>
      <c r="AU37" s="125">
        <f t="shared" si="19"/>
        <v>2816.0338971313577</v>
      </c>
      <c r="AV37" s="126">
        <v>301.17</v>
      </c>
      <c r="AW37" s="126">
        <v>24.744799999999998</v>
      </c>
      <c r="AX37" s="125">
        <v>3337.6147999999998</v>
      </c>
      <c r="AY37" s="79">
        <v>1237.2</v>
      </c>
      <c r="AZ37" s="79">
        <v>1737.97</v>
      </c>
      <c r="BA37" s="130">
        <v>179.39000000000033</v>
      </c>
      <c r="BC37" s="127" t="s">
        <v>314</v>
      </c>
    </row>
    <row r="38" spans="1:55" s="80" customFormat="1" hidden="1" x14ac:dyDescent="0.25">
      <c r="A38" s="117" t="s">
        <v>66</v>
      </c>
      <c r="B38" s="80" t="s">
        <v>67</v>
      </c>
      <c r="C38" s="118">
        <f t="shared" si="2"/>
        <v>1750</v>
      </c>
      <c r="D38" s="118">
        <v>0</v>
      </c>
      <c r="E38" s="118">
        <f t="shared" si="3"/>
        <v>13289.98</v>
      </c>
      <c r="F38" s="118"/>
      <c r="G38" s="118"/>
      <c r="H38" s="118">
        <f t="shared" si="4"/>
        <v>15039.98</v>
      </c>
      <c r="I38" s="118">
        <f t="shared" si="5"/>
        <v>0</v>
      </c>
      <c r="J38" s="119">
        <f t="shared" si="6"/>
        <v>0</v>
      </c>
      <c r="K38" s="118">
        <f t="shared" si="7"/>
        <v>0</v>
      </c>
      <c r="L38" s="118">
        <f t="shared" si="0"/>
        <v>0</v>
      </c>
      <c r="M38" s="118">
        <f t="shared" si="8"/>
        <v>45.15</v>
      </c>
      <c r="N38" s="118">
        <f t="shared" si="9"/>
        <v>0</v>
      </c>
      <c r="O38" s="118">
        <f t="shared" si="10"/>
        <v>1518.356</v>
      </c>
      <c r="P38" s="118">
        <f t="shared" si="11"/>
        <v>1563.5060000000001</v>
      </c>
      <c r="Q38" s="118">
        <f t="shared" si="12"/>
        <v>13476.474</v>
      </c>
      <c r="R38" s="120">
        <f t="shared" si="13"/>
        <v>14994.83</v>
      </c>
      <c r="S38" s="120">
        <f t="shared" si="14"/>
        <v>0</v>
      </c>
      <c r="T38" s="120">
        <f>+'C&amp;A'!D38*0.02</f>
        <v>21.911999999999999</v>
      </c>
      <c r="U38" s="120">
        <f t="shared" si="15"/>
        <v>15016.742</v>
      </c>
      <c r="V38" s="120">
        <f t="shared" si="16"/>
        <v>2402.6787199999999</v>
      </c>
      <c r="W38" s="120">
        <f t="shared" si="17"/>
        <v>17419.420720000002</v>
      </c>
      <c r="X38" s="121" t="s">
        <v>192</v>
      </c>
      <c r="Y38" s="121" t="s">
        <v>296</v>
      </c>
      <c r="Z38" s="122">
        <v>56</v>
      </c>
      <c r="AA38" s="121" t="s">
        <v>230</v>
      </c>
      <c r="AB38" s="121"/>
      <c r="AC38" s="121"/>
      <c r="AD38" s="123">
        <v>1237.2399999999998</v>
      </c>
      <c r="AE38" s="121">
        <v>512.76000000000022</v>
      </c>
      <c r="AF38" s="123">
        <v>1750</v>
      </c>
      <c r="AG38" s="123">
        <v>13289.98</v>
      </c>
      <c r="AH38" s="123">
        <f t="shared" si="1"/>
        <v>0</v>
      </c>
      <c r="AI38" s="123"/>
      <c r="AJ38" s="123"/>
      <c r="AK38" s="124">
        <v>45.15</v>
      </c>
      <c r="AL38" s="125">
        <f t="shared" si="18"/>
        <v>14994.83</v>
      </c>
      <c r="AM38" s="123"/>
      <c r="AN38" s="126"/>
      <c r="AO38" s="126"/>
      <c r="AP38" s="126"/>
      <c r="AQ38" s="48"/>
      <c r="AR38" s="48">
        <v>0</v>
      </c>
      <c r="AS38" s="125">
        <v>15183.56</v>
      </c>
      <c r="AT38" s="126">
        <v>1518.356</v>
      </c>
      <c r="AU38" s="125">
        <f t="shared" si="19"/>
        <v>13476.474</v>
      </c>
      <c r="AV38" s="126">
        <v>0</v>
      </c>
      <c r="AW38" s="126">
        <v>24.744799999999998</v>
      </c>
      <c r="AX38" s="125">
        <v>15208.3048</v>
      </c>
      <c r="AY38" s="79">
        <v>1237.2</v>
      </c>
      <c r="AZ38" s="79">
        <v>701.53</v>
      </c>
      <c r="BA38" s="119">
        <v>-11726.474</v>
      </c>
      <c r="BC38" s="127" t="s">
        <v>313</v>
      </c>
    </row>
    <row r="39" spans="1:55" s="80" customFormat="1" hidden="1" x14ac:dyDescent="0.25">
      <c r="A39" s="117" t="s">
        <v>68</v>
      </c>
      <c r="B39" s="80" t="s">
        <v>69</v>
      </c>
      <c r="C39" s="118">
        <f t="shared" si="2"/>
        <v>2750</v>
      </c>
      <c r="D39" s="118">
        <v>0</v>
      </c>
      <c r="E39" s="118">
        <f t="shared" si="3"/>
        <v>3500</v>
      </c>
      <c r="F39" s="118"/>
      <c r="G39" s="118"/>
      <c r="H39" s="118">
        <f t="shared" si="4"/>
        <v>6250</v>
      </c>
      <c r="I39" s="118">
        <f t="shared" si="5"/>
        <v>183.33</v>
      </c>
      <c r="J39" s="119">
        <f t="shared" si="6"/>
        <v>0</v>
      </c>
      <c r="K39" s="118">
        <f t="shared" si="7"/>
        <v>0</v>
      </c>
      <c r="L39" s="118">
        <f t="shared" si="0"/>
        <v>0</v>
      </c>
      <c r="M39" s="118">
        <f t="shared" si="8"/>
        <v>45.15</v>
      </c>
      <c r="N39" s="118">
        <f t="shared" si="9"/>
        <v>0</v>
      </c>
      <c r="O39" s="118">
        <f t="shared" si="10"/>
        <v>635.02200000000005</v>
      </c>
      <c r="P39" s="118">
        <f t="shared" si="11"/>
        <v>863.50200000000007</v>
      </c>
      <c r="Q39" s="118">
        <f t="shared" si="12"/>
        <v>5386.4979999999996</v>
      </c>
      <c r="R39" s="120">
        <f t="shared" si="13"/>
        <v>6204.85</v>
      </c>
      <c r="S39" s="120">
        <f t="shared" si="14"/>
        <v>0</v>
      </c>
      <c r="T39" s="120">
        <f>+'C&amp;A'!D39*0.02</f>
        <v>21.911999999999999</v>
      </c>
      <c r="U39" s="120">
        <f t="shared" si="15"/>
        <v>6226.7620000000006</v>
      </c>
      <c r="V39" s="120">
        <f t="shared" si="16"/>
        <v>996.28192000000013</v>
      </c>
      <c r="W39" s="120">
        <f t="shared" si="17"/>
        <v>7223.043920000001</v>
      </c>
      <c r="X39" s="121" t="s">
        <v>192</v>
      </c>
      <c r="Y39" s="121" t="s">
        <v>131</v>
      </c>
      <c r="Z39" s="122" t="s">
        <v>68</v>
      </c>
      <c r="AA39" s="121" t="s">
        <v>231</v>
      </c>
      <c r="AB39" s="121" t="s">
        <v>194</v>
      </c>
      <c r="AC39" s="121"/>
      <c r="AD39" s="123">
        <v>1237.2399999999998</v>
      </c>
      <c r="AE39" s="121">
        <v>1512.7600000000002</v>
      </c>
      <c r="AF39" s="123">
        <v>2750</v>
      </c>
      <c r="AG39" s="123">
        <v>3500</v>
      </c>
      <c r="AH39" s="123">
        <f t="shared" si="1"/>
        <v>0</v>
      </c>
      <c r="AI39" s="123"/>
      <c r="AJ39" s="123"/>
      <c r="AK39" s="124">
        <v>45.15</v>
      </c>
      <c r="AL39" s="125">
        <f t="shared" si="18"/>
        <v>6204.85</v>
      </c>
      <c r="AM39" s="123">
        <v>183.33</v>
      </c>
      <c r="AN39" s="126"/>
      <c r="AO39" s="126"/>
      <c r="AP39" s="126"/>
      <c r="AQ39" s="48"/>
      <c r="AR39" s="48">
        <v>0</v>
      </c>
      <c r="AS39" s="125">
        <v>6166.89</v>
      </c>
      <c r="AT39" s="126">
        <v>635.02200000000005</v>
      </c>
      <c r="AU39" s="125">
        <f t="shared" si="19"/>
        <v>5386.4980000000005</v>
      </c>
      <c r="AV39" s="126">
        <v>0</v>
      </c>
      <c r="AW39" s="126">
        <v>24.744799999999998</v>
      </c>
      <c r="AX39" s="125">
        <v>6374.9648000000007</v>
      </c>
      <c r="AY39" s="79">
        <v>1237.2</v>
      </c>
      <c r="AZ39" s="79">
        <v>1474.84</v>
      </c>
      <c r="BA39" s="119">
        <v>-2819.8280000000004</v>
      </c>
      <c r="BB39" s="128"/>
      <c r="BC39" s="127" t="s">
        <v>311</v>
      </c>
    </row>
    <row r="40" spans="1:55" s="80" customFormat="1" hidden="1" x14ac:dyDescent="0.25">
      <c r="A40" s="117" t="s">
        <v>70</v>
      </c>
      <c r="B40" s="80" t="s">
        <v>71</v>
      </c>
      <c r="C40" s="118">
        <f t="shared" si="2"/>
        <v>3500</v>
      </c>
      <c r="D40" s="118">
        <v>0</v>
      </c>
      <c r="E40" s="118">
        <f t="shared" si="3"/>
        <v>25114.12</v>
      </c>
      <c r="F40" s="118"/>
      <c r="G40" s="118"/>
      <c r="H40" s="118">
        <f t="shared" si="4"/>
        <v>28614.12</v>
      </c>
      <c r="I40" s="118">
        <f t="shared" si="5"/>
        <v>0</v>
      </c>
      <c r="J40" s="119">
        <f t="shared" si="6"/>
        <v>0</v>
      </c>
      <c r="K40" s="118">
        <f t="shared" si="7"/>
        <v>0</v>
      </c>
      <c r="L40" s="118">
        <f t="shared" si="0"/>
        <v>0</v>
      </c>
      <c r="M40" s="118">
        <f t="shared" si="8"/>
        <v>45.15</v>
      </c>
      <c r="N40" s="118">
        <f t="shared" si="9"/>
        <v>357.22</v>
      </c>
      <c r="O40" s="118">
        <f t="shared" si="10"/>
        <v>2869.4089999999997</v>
      </c>
      <c r="P40" s="118">
        <f t="shared" si="11"/>
        <v>3271.7789999999995</v>
      </c>
      <c r="Q40" s="118">
        <f t="shared" si="12"/>
        <v>25342.341</v>
      </c>
      <c r="R40" s="120">
        <f t="shared" si="13"/>
        <v>28568.969999999998</v>
      </c>
      <c r="S40" s="120">
        <f t="shared" si="14"/>
        <v>0</v>
      </c>
      <c r="T40" s="120">
        <f>+'C&amp;A'!D40*0.02</f>
        <v>21.911999999999999</v>
      </c>
      <c r="U40" s="120">
        <f t="shared" si="15"/>
        <v>28590.881999999998</v>
      </c>
      <c r="V40" s="120">
        <f t="shared" si="16"/>
        <v>4574.5411199999999</v>
      </c>
      <c r="W40" s="120">
        <f t="shared" si="17"/>
        <v>33165.423119999999</v>
      </c>
      <c r="X40" s="121" t="s">
        <v>233</v>
      </c>
      <c r="Y40" s="121" t="s">
        <v>234</v>
      </c>
      <c r="Z40" s="121">
        <v>23</v>
      </c>
      <c r="AA40" s="121" t="s">
        <v>235</v>
      </c>
      <c r="AB40" s="121"/>
      <c r="AC40" s="121"/>
      <c r="AD40" s="123">
        <v>1237.2399999999998</v>
      </c>
      <c r="AE40" s="121">
        <v>2262.7600000000002</v>
      </c>
      <c r="AF40" s="123">
        <v>3500</v>
      </c>
      <c r="AG40" s="123">
        <v>25114.12</v>
      </c>
      <c r="AH40" s="123">
        <f t="shared" si="1"/>
        <v>0</v>
      </c>
      <c r="AI40" s="123"/>
      <c r="AJ40" s="123"/>
      <c r="AK40" s="124">
        <v>45.15</v>
      </c>
      <c r="AL40" s="125">
        <f t="shared" si="18"/>
        <v>28568.969999999998</v>
      </c>
      <c r="AM40" s="123"/>
      <c r="AN40" s="126"/>
      <c r="AO40" s="126"/>
      <c r="AP40" s="126"/>
      <c r="AQ40" s="48"/>
      <c r="AR40" s="48">
        <v>357.22</v>
      </c>
      <c r="AS40" s="125">
        <v>28336.869999999995</v>
      </c>
      <c r="AT40" s="126">
        <v>2869.4089999999997</v>
      </c>
      <c r="AU40" s="125">
        <f t="shared" si="19"/>
        <v>25342.340999999997</v>
      </c>
      <c r="AV40" s="126">
        <v>0</v>
      </c>
      <c r="AW40" s="126">
        <v>24.744799999999998</v>
      </c>
      <c r="AX40" s="125">
        <v>28718.834799999997</v>
      </c>
      <c r="AY40" s="79">
        <v>1237.2</v>
      </c>
      <c r="AZ40" s="79">
        <v>2030.7</v>
      </c>
      <c r="BA40" s="119">
        <v>-22199.560999999994</v>
      </c>
      <c r="BC40" s="127" t="s">
        <v>313</v>
      </c>
    </row>
    <row r="41" spans="1:55" s="80" customFormat="1" hidden="1" x14ac:dyDescent="0.25">
      <c r="A41" s="117" t="s">
        <v>72</v>
      </c>
      <c r="B41" s="80" t="s">
        <v>73</v>
      </c>
      <c r="C41" s="118">
        <f t="shared" si="2"/>
        <v>2000</v>
      </c>
      <c r="D41" s="118">
        <v>0</v>
      </c>
      <c r="E41" s="118">
        <f t="shared" si="3"/>
        <v>2735</v>
      </c>
      <c r="F41" s="118"/>
      <c r="G41" s="118"/>
      <c r="H41" s="118">
        <f t="shared" si="4"/>
        <v>4735</v>
      </c>
      <c r="I41" s="118">
        <f t="shared" si="5"/>
        <v>0</v>
      </c>
      <c r="J41" s="119">
        <f t="shared" si="6"/>
        <v>0</v>
      </c>
      <c r="K41" s="118">
        <f t="shared" si="7"/>
        <v>0</v>
      </c>
      <c r="L41" s="118">
        <f t="shared" si="0"/>
        <v>0</v>
      </c>
      <c r="M41" s="118">
        <f t="shared" si="8"/>
        <v>45.15</v>
      </c>
      <c r="N41" s="118">
        <f t="shared" si="9"/>
        <v>0</v>
      </c>
      <c r="O41" s="118">
        <f t="shared" si="10"/>
        <v>487.858</v>
      </c>
      <c r="P41" s="118">
        <f t="shared" si="11"/>
        <v>533.00800000000004</v>
      </c>
      <c r="Q41" s="118">
        <f t="shared" si="12"/>
        <v>4201.9920000000002</v>
      </c>
      <c r="R41" s="120">
        <f t="shared" si="13"/>
        <v>4689.8500000000004</v>
      </c>
      <c r="S41" s="120">
        <f t="shared" si="14"/>
        <v>0</v>
      </c>
      <c r="T41" s="120">
        <f>+'C&amp;A'!D41*0.02</f>
        <v>21.911999999999999</v>
      </c>
      <c r="U41" s="120">
        <f t="shared" si="15"/>
        <v>4711.7620000000006</v>
      </c>
      <c r="V41" s="120">
        <f t="shared" si="16"/>
        <v>753.88192000000015</v>
      </c>
      <c r="W41" s="120">
        <f t="shared" si="17"/>
        <v>5465.6439200000004</v>
      </c>
      <c r="X41" s="121" t="s">
        <v>190</v>
      </c>
      <c r="Y41" s="121" t="s">
        <v>232</v>
      </c>
      <c r="Z41" s="122">
        <v>12</v>
      </c>
      <c r="AA41" s="121" t="s">
        <v>227</v>
      </c>
      <c r="AB41" s="121"/>
      <c r="AC41" s="121"/>
      <c r="AD41" s="123">
        <v>1237.2399999999998</v>
      </c>
      <c r="AE41" s="121">
        <v>762.76000000000022</v>
      </c>
      <c r="AF41" s="123">
        <v>2000</v>
      </c>
      <c r="AG41" s="123">
        <v>2735</v>
      </c>
      <c r="AH41" s="123">
        <f t="shared" si="1"/>
        <v>0</v>
      </c>
      <c r="AJ41" s="123"/>
      <c r="AK41" s="124">
        <v>45.15</v>
      </c>
      <c r="AL41" s="125">
        <f t="shared" si="18"/>
        <v>4689.8500000000004</v>
      </c>
      <c r="AM41" s="123"/>
      <c r="AN41" s="126"/>
      <c r="AO41" s="126"/>
      <c r="AP41" s="126"/>
      <c r="AQ41" s="123"/>
      <c r="AR41" s="123">
        <v>0</v>
      </c>
      <c r="AS41" s="125">
        <v>4878.58</v>
      </c>
      <c r="AT41" s="126">
        <v>487.858</v>
      </c>
      <c r="AU41" s="125">
        <f t="shared" si="19"/>
        <v>4201.9920000000002</v>
      </c>
      <c r="AV41" s="126">
        <v>0</v>
      </c>
      <c r="AW41" s="126">
        <v>24.744799999999998</v>
      </c>
      <c r="AX41" s="125">
        <v>4903.3248000000003</v>
      </c>
      <c r="AY41" s="79">
        <v>1237.2</v>
      </c>
      <c r="AZ41" s="79">
        <v>2571.5300000000002</v>
      </c>
      <c r="BA41" s="119">
        <v>-581.99199999999928</v>
      </c>
      <c r="BB41" s="133"/>
      <c r="BC41" s="127" t="s">
        <v>311</v>
      </c>
    </row>
    <row r="42" spans="1:55" s="80" customFormat="1" x14ac:dyDescent="0.25">
      <c r="A42" s="117" t="s">
        <v>155</v>
      </c>
      <c r="B42" s="80" t="s">
        <v>156</v>
      </c>
      <c r="C42" s="118">
        <f t="shared" si="2"/>
        <v>5550</v>
      </c>
      <c r="D42" s="118">
        <v>0</v>
      </c>
      <c r="E42" s="118">
        <f t="shared" si="3"/>
        <v>0</v>
      </c>
      <c r="F42" s="118"/>
      <c r="G42" s="118"/>
      <c r="H42" s="118">
        <f t="shared" si="4"/>
        <v>5550</v>
      </c>
      <c r="I42" s="118">
        <f t="shared" si="5"/>
        <v>0</v>
      </c>
      <c r="J42" s="119">
        <f t="shared" si="6"/>
        <v>0</v>
      </c>
      <c r="K42" s="118">
        <f t="shared" si="7"/>
        <v>0</v>
      </c>
      <c r="L42" s="118">
        <f t="shared" si="0"/>
        <v>0</v>
      </c>
      <c r="M42" s="118">
        <f t="shared" si="8"/>
        <v>45.15</v>
      </c>
      <c r="N42" s="118">
        <f t="shared" si="9"/>
        <v>0</v>
      </c>
      <c r="O42" s="118">
        <f t="shared" si="10"/>
        <v>550.48500000000001</v>
      </c>
      <c r="P42" s="118">
        <f t="shared" si="11"/>
        <v>595.63499999999999</v>
      </c>
      <c r="Q42" s="118">
        <f t="shared" si="12"/>
        <v>4954.3649999999998</v>
      </c>
      <c r="R42" s="120">
        <f t="shared" si="13"/>
        <v>5504.85</v>
      </c>
      <c r="S42" s="120">
        <f t="shared" si="14"/>
        <v>0</v>
      </c>
      <c r="T42" s="120">
        <f>+'C&amp;A'!D42*0.02</f>
        <v>21.911999999999999</v>
      </c>
      <c r="U42" s="120">
        <f t="shared" si="15"/>
        <v>5526.7620000000006</v>
      </c>
      <c r="V42" s="120">
        <f t="shared" si="16"/>
        <v>884.28192000000013</v>
      </c>
      <c r="W42" s="120">
        <f t="shared" si="17"/>
        <v>6411.043920000001</v>
      </c>
      <c r="X42" s="121" t="s">
        <v>236</v>
      </c>
      <c r="Y42" s="121" t="s">
        <v>237</v>
      </c>
      <c r="Z42" s="121" t="s">
        <v>155</v>
      </c>
      <c r="AA42" s="121" t="s">
        <v>198</v>
      </c>
      <c r="AB42" s="121"/>
      <c r="AC42" s="121"/>
      <c r="AD42" s="123">
        <v>1237.2399999999998</v>
      </c>
      <c r="AE42" s="121">
        <v>4312.76</v>
      </c>
      <c r="AF42" s="123">
        <v>5550</v>
      </c>
      <c r="AG42" s="123"/>
      <c r="AH42" s="123">
        <f t="shared" ref="AH42:AH65" si="20">+D42</f>
        <v>0</v>
      </c>
      <c r="AI42" s="123"/>
      <c r="AJ42" s="123"/>
      <c r="AK42" s="124">
        <v>45.15</v>
      </c>
      <c r="AL42" s="125">
        <f t="shared" si="18"/>
        <v>5504.85</v>
      </c>
      <c r="AM42" s="123"/>
      <c r="AN42" s="126"/>
      <c r="AO42" s="126"/>
      <c r="AP42" s="126"/>
      <c r="AQ42" s="48"/>
      <c r="AR42" s="48">
        <v>0</v>
      </c>
      <c r="AS42" s="125">
        <v>5504.85</v>
      </c>
      <c r="AT42" s="126">
        <v>550.48500000000001</v>
      </c>
      <c r="AU42" s="125">
        <f t="shared" si="19"/>
        <v>4954.3650000000007</v>
      </c>
      <c r="AV42" s="126">
        <v>0</v>
      </c>
      <c r="AW42" s="126">
        <v>24.744799999999998</v>
      </c>
      <c r="AX42" s="125">
        <v>5529.5948000000008</v>
      </c>
      <c r="AY42" s="79">
        <v>1237.2</v>
      </c>
      <c r="AZ42" s="79">
        <v>3712.8</v>
      </c>
      <c r="BA42" s="130">
        <v>-4.3650000000006912</v>
      </c>
      <c r="BC42" s="127" t="s">
        <v>316</v>
      </c>
    </row>
    <row r="43" spans="1:55" s="80" customFormat="1" hidden="1" x14ac:dyDescent="0.25">
      <c r="A43" s="117" t="s">
        <v>74</v>
      </c>
      <c r="B43" s="80" t="s">
        <v>75</v>
      </c>
      <c r="C43" s="118">
        <f t="shared" si="2"/>
        <v>1750</v>
      </c>
      <c r="D43" s="118">
        <v>0</v>
      </c>
      <c r="E43" s="118">
        <f t="shared" si="3"/>
        <v>2637.8</v>
      </c>
      <c r="F43" s="118"/>
      <c r="G43" s="118"/>
      <c r="H43" s="118">
        <f t="shared" si="4"/>
        <v>4387.8</v>
      </c>
      <c r="I43" s="118">
        <f t="shared" si="5"/>
        <v>0</v>
      </c>
      <c r="J43" s="119">
        <f t="shared" si="6"/>
        <v>0</v>
      </c>
      <c r="K43" s="118">
        <f t="shared" si="7"/>
        <v>0</v>
      </c>
      <c r="L43" s="118">
        <f t="shared" si="0"/>
        <v>0</v>
      </c>
      <c r="M43" s="118">
        <f t="shared" si="8"/>
        <v>45.15</v>
      </c>
      <c r="N43" s="118">
        <f t="shared" si="9"/>
        <v>0</v>
      </c>
      <c r="O43" s="118">
        <f t="shared" si="10"/>
        <v>0</v>
      </c>
      <c r="P43" s="118">
        <f t="shared" si="11"/>
        <v>45.15</v>
      </c>
      <c r="Q43" s="118">
        <f t="shared" si="12"/>
        <v>4342.6500000000005</v>
      </c>
      <c r="R43" s="120">
        <f t="shared" si="13"/>
        <v>4342.6500000000005</v>
      </c>
      <c r="S43" s="120">
        <f t="shared" si="14"/>
        <v>434.2650000000001</v>
      </c>
      <c r="T43" s="120">
        <f>+'C&amp;A'!D43*0.02</f>
        <v>21.911999999999999</v>
      </c>
      <c r="U43" s="120">
        <f t="shared" si="15"/>
        <v>4798.8270000000011</v>
      </c>
      <c r="V43" s="120">
        <f t="shared" si="16"/>
        <v>767.81232000000023</v>
      </c>
      <c r="W43" s="120">
        <f t="shared" si="17"/>
        <v>5566.6393200000011</v>
      </c>
      <c r="X43" s="121" t="s">
        <v>190</v>
      </c>
      <c r="Y43" s="121" t="s">
        <v>238</v>
      </c>
      <c r="Z43" s="122" t="s">
        <v>74</v>
      </c>
      <c r="AA43" s="121" t="s">
        <v>239</v>
      </c>
      <c r="AB43" s="121"/>
      <c r="AC43" s="121"/>
      <c r="AD43" s="123">
        <v>1237.2399999999998</v>
      </c>
      <c r="AE43" s="121">
        <v>512.76000000000022</v>
      </c>
      <c r="AF43" s="123">
        <v>1750</v>
      </c>
      <c r="AG43" s="123">
        <v>2637.8</v>
      </c>
      <c r="AH43" s="123">
        <f t="shared" si="20"/>
        <v>0</v>
      </c>
      <c r="AI43" s="123"/>
      <c r="AJ43" s="123"/>
      <c r="AK43" s="124">
        <v>45.15</v>
      </c>
      <c r="AL43" s="125">
        <f t="shared" si="18"/>
        <v>4342.6500000000005</v>
      </c>
      <c r="AM43" s="123"/>
      <c r="AN43" s="126"/>
      <c r="AO43" s="126"/>
      <c r="AP43" s="126"/>
      <c r="AQ43" s="48"/>
      <c r="AR43" s="48">
        <v>0</v>
      </c>
      <c r="AS43" s="125">
        <v>4342.6500000000005</v>
      </c>
      <c r="AT43" s="126">
        <v>0</v>
      </c>
      <c r="AU43" s="125">
        <f t="shared" si="19"/>
        <v>4342.6500000000005</v>
      </c>
      <c r="AV43" s="126">
        <v>434.2650000000001</v>
      </c>
      <c r="AW43" s="126">
        <v>24.744799999999998</v>
      </c>
      <c r="AX43" s="125">
        <v>4801.6598000000013</v>
      </c>
      <c r="AY43" s="79">
        <v>1237.2</v>
      </c>
      <c r="AZ43" s="79">
        <v>2954.63</v>
      </c>
      <c r="BA43" s="119">
        <v>-150.82000000000062</v>
      </c>
      <c r="BC43" s="127" t="s">
        <v>314</v>
      </c>
    </row>
    <row r="44" spans="1:55" s="80" customFormat="1" hidden="1" x14ac:dyDescent="0.25">
      <c r="A44" s="117" t="s">
        <v>76</v>
      </c>
      <c r="B44" s="80" t="s">
        <v>77</v>
      </c>
      <c r="C44" s="118">
        <f t="shared" si="2"/>
        <v>1000</v>
      </c>
      <c r="D44" s="118">
        <v>200.73299727735468</v>
      </c>
      <c r="E44" s="118">
        <f t="shared" si="3"/>
        <v>0</v>
      </c>
      <c r="F44" s="118"/>
      <c r="G44" s="118"/>
      <c r="H44" s="118">
        <f t="shared" si="4"/>
        <v>1200.7329972773546</v>
      </c>
      <c r="I44" s="118">
        <f t="shared" si="5"/>
        <v>0</v>
      </c>
      <c r="J44" s="119">
        <f t="shared" si="6"/>
        <v>0</v>
      </c>
      <c r="K44" s="118">
        <f t="shared" si="7"/>
        <v>0</v>
      </c>
      <c r="L44" s="118">
        <f t="shared" si="0"/>
        <v>0</v>
      </c>
      <c r="M44" s="118">
        <f t="shared" si="8"/>
        <v>45.15</v>
      </c>
      <c r="N44" s="118">
        <f t="shared" si="9"/>
        <v>0</v>
      </c>
      <c r="O44" s="118">
        <f t="shared" si="10"/>
        <v>0</v>
      </c>
      <c r="P44" s="118">
        <f t="shared" si="11"/>
        <v>45.15</v>
      </c>
      <c r="Q44" s="118">
        <f t="shared" si="12"/>
        <v>1155.5829972773545</v>
      </c>
      <c r="R44" s="120">
        <f t="shared" si="13"/>
        <v>1155.5829972773545</v>
      </c>
      <c r="S44" s="120">
        <f t="shared" si="14"/>
        <v>115.55799999999999</v>
      </c>
      <c r="T44" s="120">
        <f>+'C&amp;A'!D44*0.02</f>
        <v>18.990400000000001</v>
      </c>
      <c r="U44" s="120">
        <f t="shared" si="15"/>
        <v>1290.1313972773544</v>
      </c>
      <c r="V44" s="120">
        <f t="shared" si="16"/>
        <v>206.4210235643767</v>
      </c>
      <c r="W44" s="120">
        <f t="shared" si="17"/>
        <v>1496.552420841731</v>
      </c>
      <c r="X44" s="121" t="s">
        <v>190</v>
      </c>
      <c r="Y44" s="121" t="s">
        <v>240</v>
      </c>
      <c r="Z44" s="122" t="s">
        <v>76</v>
      </c>
      <c r="AA44" s="121" t="s">
        <v>196</v>
      </c>
      <c r="AB44" s="121"/>
      <c r="AC44" s="121"/>
      <c r="AD44" s="123">
        <v>1000</v>
      </c>
      <c r="AE44" s="121"/>
      <c r="AF44" s="123">
        <v>1000</v>
      </c>
      <c r="AG44" s="123"/>
      <c r="AH44" s="123">
        <f t="shared" si="20"/>
        <v>200.73299727735468</v>
      </c>
      <c r="AI44" s="123"/>
      <c r="AJ44" s="123"/>
      <c r="AK44" s="124">
        <v>45.15</v>
      </c>
      <c r="AL44" s="125">
        <f t="shared" si="18"/>
        <v>1155.5829972773545</v>
      </c>
      <c r="AM44" s="123"/>
      <c r="AN44" s="126"/>
      <c r="AO44" s="126"/>
      <c r="AP44" s="126"/>
      <c r="AQ44" s="48"/>
      <c r="AR44" s="48">
        <v>0</v>
      </c>
      <c r="AS44" s="125">
        <v>1155.58</v>
      </c>
      <c r="AT44" s="126">
        <v>0</v>
      </c>
      <c r="AU44" s="125">
        <f t="shared" si="19"/>
        <v>1155.5829972773545</v>
      </c>
      <c r="AV44" s="126">
        <v>115.55799999999999</v>
      </c>
      <c r="AW44" s="126">
        <v>20</v>
      </c>
      <c r="AX44" s="125">
        <v>1291.1379999999999</v>
      </c>
      <c r="AY44" s="79">
        <v>1062.8</v>
      </c>
      <c r="AZ44" s="79">
        <v>1.1100000000000001</v>
      </c>
      <c r="BA44" s="130">
        <v>-91.670000000000073</v>
      </c>
      <c r="BC44" s="127" t="s">
        <v>311</v>
      </c>
    </row>
    <row r="45" spans="1:55" s="80" customFormat="1" hidden="1" x14ac:dyDescent="0.25">
      <c r="A45" s="117" t="s">
        <v>78</v>
      </c>
      <c r="B45" s="80" t="s">
        <v>79</v>
      </c>
      <c r="C45" s="118">
        <f t="shared" si="2"/>
        <v>3500</v>
      </c>
      <c r="D45" s="118">
        <v>0</v>
      </c>
      <c r="E45" s="118">
        <f t="shared" si="3"/>
        <v>25445.65</v>
      </c>
      <c r="F45" s="118"/>
      <c r="G45" s="118"/>
      <c r="H45" s="118">
        <f t="shared" si="4"/>
        <v>28945.65</v>
      </c>
      <c r="I45" s="118">
        <f t="shared" si="5"/>
        <v>0</v>
      </c>
      <c r="J45" s="119">
        <f t="shared" si="6"/>
        <v>0</v>
      </c>
      <c r="K45" s="118">
        <f t="shared" si="7"/>
        <v>0</v>
      </c>
      <c r="L45" s="118">
        <f t="shared" si="0"/>
        <v>0</v>
      </c>
      <c r="M45" s="118">
        <f t="shared" si="8"/>
        <v>45.15</v>
      </c>
      <c r="N45" s="118">
        <f t="shared" si="9"/>
        <v>878.82</v>
      </c>
      <c r="O45" s="118">
        <f t="shared" si="10"/>
        <v>2902.5619999999999</v>
      </c>
      <c r="P45" s="118">
        <f t="shared" si="11"/>
        <v>3826.5320000000002</v>
      </c>
      <c r="Q45" s="118">
        <f t="shared" si="12"/>
        <v>25119.118000000002</v>
      </c>
      <c r="R45" s="120">
        <f t="shared" si="13"/>
        <v>28900.5</v>
      </c>
      <c r="S45" s="120">
        <f t="shared" si="14"/>
        <v>0</v>
      </c>
      <c r="T45" s="120">
        <f>+'C&amp;A'!D45*0.02</f>
        <v>21.911999999999999</v>
      </c>
      <c r="U45" s="120">
        <f t="shared" si="15"/>
        <v>28922.412</v>
      </c>
      <c r="V45" s="120">
        <f t="shared" si="16"/>
        <v>4627.5859200000004</v>
      </c>
      <c r="W45" s="120">
        <f t="shared" si="17"/>
        <v>33549.997920000002</v>
      </c>
      <c r="X45" s="121" t="s">
        <v>241</v>
      </c>
      <c r="Y45" s="121" t="s">
        <v>242</v>
      </c>
      <c r="Z45" s="122">
        <v>9</v>
      </c>
      <c r="AA45" s="121" t="s">
        <v>241</v>
      </c>
      <c r="AB45" s="121"/>
      <c r="AC45" s="121"/>
      <c r="AD45" s="123">
        <v>1237.2399999999998</v>
      </c>
      <c r="AE45" s="121">
        <v>2262.7600000000002</v>
      </c>
      <c r="AF45" s="123">
        <v>3500</v>
      </c>
      <c r="AG45" s="123">
        <v>25445.65</v>
      </c>
      <c r="AH45" s="123">
        <f t="shared" si="20"/>
        <v>0</v>
      </c>
      <c r="AI45" s="123"/>
      <c r="AJ45" s="123"/>
      <c r="AK45" s="124">
        <v>45.15</v>
      </c>
      <c r="AL45" s="125">
        <f t="shared" si="18"/>
        <v>28900.5</v>
      </c>
      <c r="AM45" s="123"/>
      <c r="AN45" s="126"/>
      <c r="AO45" s="126"/>
      <c r="AP45" s="126"/>
      <c r="AQ45" s="48"/>
      <c r="AR45" s="48">
        <v>878.82</v>
      </c>
      <c r="AS45" s="125">
        <v>28146.799999999999</v>
      </c>
      <c r="AT45" s="126">
        <v>2902.5619999999999</v>
      </c>
      <c r="AU45" s="125">
        <f t="shared" si="19"/>
        <v>25119.118000000002</v>
      </c>
      <c r="AV45" s="126">
        <v>0</v>
      </c>
      <c r="AW45" s="126">
        <v>24.744799999999998</v>
      </c>
      <c r="AX45" s="125">
        <v>29050.364799999999</v>
      </c>
      <c r="AY45" s="79">
        <v>1237.2</v>
      </c>
      <c r="AZ45" s="79">
        <v>1509.1</v>
      </c>
      <c r="BA45" s="119">
        <v>-22497.937999999998</v>
      </c>
      <c r="BC45" s="127" t="s">
        <v>317</v>
      </c>
    </row>
    <row r="46" spans="1:55" s="80" customFormat="1" hidden="1" x14ac:dyDescent="0.25">
      <c r="A46" s="117" t="s">
        <v>80</v>
      </c>
      <c r="B46" s="80" t="s">
        <v>81</v>
      </c>
      <c r="C46" s="118">
        <f t="shared" si="2"/>
        <v>3500</v>
      </c>
      <c r="D46" s="118">
        <v>0</v>
      </c>
      <c r="E46" s="118">
        <f t="shared" si="3"/>
        <v>51164</v>
      </c>
      <c r="F46" s="118"/>
      <c r="G46" s="118"/>
      <c r="H46" s="118">
        <f t="shared" si="4"/>
        <v>54664</v>
      </c>
      <c r="I46" s="118">
        <f t="shared" si="5"/>
        <v>0</v>
      </c>
      <c r="J46" s="119">
        <f t="shared" si="6"/>
        <v>0</v>
      </c>
      <c r="K46" s="118">
        <f t="shared" si="7"/>
        <v>0</v>
      </c>
      <c r="L46" s="118">
        <f t="shared" si="0"/>
        <v>0</v>
      </c>
      <c r="M46" s="118">
        <f t="shared" si="8"/>
        <v>45.15</v>
      </c>
      <c r="N46" s="118">
        <f t="shared" si="9"/>
        <v>0</v>
      </c>
      <c r="O46" s="118">
        <f t="shared" si="10"/>
        <v>5474.3970000000008</v>
      </c>
      <c r="P46" s="118">
        <f t="shared" si="11"/>
        <v>5519.5470000000005</v>
      </c>
      <c r="Q46" s="118">
        <f t="shared" si="12"/>
        <v>49144.453000000001</v>
      </c>
      <c r="R46" s="120">
        <f t="shared" si="13"/>
        <v>54618.85</v>
      </c>
      <c r="S46" s="120">
        <f t="shared" si="14"/>
        <v>0</v>
      </c>
      <c r="T46" s="120">
        <f>+'C&amp;A'!D46*0.02</f>
        <v>21.911999999999999</v>
      </c>
      <c r="U46" s="120">
        <f t="shared" si="15"/>
        <v>54640.761999999995</v>
      </c>
      <c r="V46" s="120">
        <f t="shared" si="16"/>
        <v>8742.5219199999992</v>
      </c>
      <c r="W46" s="120">
        <f t="shared" si="17"/>
        <v>63383.283919999994</v>
      </c>
      <c r="X46" s="121" t="s">
        <v>200</v>
      </c>
      <c r="Y46" s="121" t="s">
        <v>243</v>
      </c>
      <c r="Z46" s="121" t="s">
        <v>80</v>
      </c>
      <c r="AA46" s="121" t="s">
        <v>244</v>
      </c>
      <c r="AB46" s="121"/>
      <c r="AC46" s="121"/>
      <c r="AD46" s="123">
        <v>1237.2399999999998</v>
      </c>
      <c r="AE46" s="121">
        <v>2262.7600000000002</v>
      </c>
      <c r="AF46" s="123">
        <v>3500</v>
      </c>
      <c r="AG46" s="123">
        <v>51164</v>
      </c>
      <c r="AH46" s="123">
        <f t="shared" si="20"/>
        <v>0</v>
      </c>
      <c r="AI46" s="123"/>
      <c r="AJ46" s="123"/>
      <c r="AK46" s="124">
        <v>45.15</v>
      </c>
      <c r="AL46" s="125">
        <f t="shared" si="18"/>
        <v>54618.85</v>
      </c>
      <c r="AM46" s="123"/>
      <c r="AN46" s="126"/>
      <c r="AO46" s="126"/>
      <c r="AP46" s="126"/>
      <c r="AQ46" s="48"/>
      <c r="AR46" s="48"/>
      <c r="AS46" s="125">
        <v>54743.97</v>
      </c>
      <c r="AT46" s="126">
        <v>5474.3970000000008</v>
      </c>
      <c r="AU46" s="125">
        <f t="shared" si="19"/>
        <v>49144.452999999994</v>
      </c>
      <c r="AV46" s="126">
        <v>0</v>
      </c>
      <c r="AW46" s="126">
        <v>24.744799999999998</v>
      </c>
      <c r="AX46" s="125">
        <v>54768.714800000002</v>
      </c>
      <c r="AY46" s="79">
        <v>1237.2</v>
      </c>
      <c r="AZ46" s="79">
        <v>2387.92</v>
      </c>
      <c r="BA46" s="119">
        <v>-45644.453000000001</v>
      </c>
      <c r="BC46" s="127" t="s">
        <v>313</v>
      </c>
    </row>
    <row r="47" spans="1:55" s="80" customFormat="1" hidden="1" x14ac:dyDescent="0.25">
      <c r="A47" s="117" t="s">
        <v>82</v>
      </c>
      <c r="B47" s="80" t="s">
        <v>83</v>
      </c>
      <c r="C47" s="118">
        <f t="shared" si="2"/>
        <v>5000</v>
      </c>
      <c r="D47" s="118">
        <v>0</v>
      </c>
      <c r="E47" s="118">
        <f t="shared" si="3"/>
        <v>9036.9500000000007</v>
      </c>
      <c r="F47" s="118"/>
      <c r="G47" s="118"/>
      <c r="H47" s="118">
        <f t="shared" si="4"/>
        <v>14036.95</v>
      </c>
      <c r="I47" s="118">
        <f t="shared" si="5"/>
        <v>0</v>
      </c>
      <c r="J47" s="119">
        <f t="shared" si="6"/>
        <v>0</v>
      </c>
      <c r="K47" s="118">
        <f t="shared" si="7"/>
        <v>0</v>
      </c>
      <c r="L47" s="118">
        <f t="shared" si="0"/>
        <v>0</v>
      </c>
      <c r="M47" s="118">
        <f t="shared" si="8"/>
        <v>45.15</v>
      </c>
      <c r="N47" s="118">
        <f t="shared" si="9"/>
        <v>0</v>
      </c>
      <c r="O47" s="118">
        <f t="shared" si="10"/>
        <v>1399.1800000000003</v>
      </c>
      <c r="P47" s="118">
        <f t="shared" si="11"/>
        <v>1444.3300000000004</v>
      </c>
      <c r="Q47" s="118">
        <f t="shared" si="12"/>
        <v>12592.62</v>
      </c>
      <c r="R47" s="120">
        <f t="shared" si="13"/>
        <v>13991.800000000001</v>
      </c>
      <c r="S47" s="120">
        <f t="shared" si="14"/>
        <v>0</v>
      </c>
      <c r="T47" s="120">
        <f>+'C&amp;A'!D47*0.02</f>
        <v>21.911999999999999</v>
      </c>
      <c r="U47" s="120">
        <f t="shared" si="15"/>
        <v>14013.712000000001</v>
      </c>
      <c r="V47" s="120">
        <f t="shared" si="16"/>
        <v>2242.1939200000002</v>
      </c>
      <c r="W47" s="120">
        <f t="shared" si="17"/>
        <v>16255.905920000001</v>
      </c>
      <c r="X47" s="121" t="s">
        <v>225</v>
      </c>
      <c r="Y47" s="121" t="s">
        <v>135</v>
      </c>
      <c r="Z47" s="122">
        <v>13</v>
      </c>
      <c r="AA47" s="121" t="s">
        <v>297</v>
      </c>
      <c r="AB47" s="121"/>
      <c r="AC47" s="121"/>
      <c r="AD47" s="123">
        <v>1237.2399999999998</v>
      </c>
      <c r="AE47" s="121">
        <v>3762.76</v>
      </c>
      <c r="AF47" s="123">
        <v>5000</v>
      </c>
      <c r="AG47" s="123">
        <v>9036.9500000000007</v>
      </c>
      <c r="AH47" s="123">
        <f t="shared" si="20"/>
        <v>0</v>
      </c>
      <c r="AI47" s="123"/>
      <c r="AJ47" s="123"/>
      <c r="AK47" s="124">
        <v>45.15</v>
      </c>
      <c r="AL47" s="125">
        <f t="shared" si="18"/>
        <v>13991.800000000001</v>
      </c>
      <c r="AM47" s="123"/>
      <c r="AN47" s="126"/>
      <c r="AO47" s="126"/>
      <c r="AP47" s="126"/>
      <c r="AQ47" s="48"/>
      <c r="AR47" s="48">
        <v>0</v>
      </c>
      <c r="AS47" s="125">
        <v>13991.800000000001</v>
      </c>
      <c r="AT47" s="126">
        <v>1399.1800000000003</v>
      </c>
      <c r="AU47" s="125">
        <f t="shared" si="19"/>
        <v>12592.62</v>
      </c>
      <c r="AV47" s="126">
        <v>0</v>
      </c>
      <c r="AW47" s="126">
        <v>24.744799999999998</v>
      </c>
      <c r="AX47" s="125">
        <v>14016.544800000001</v>
      </c>
      <c r="AY47" s="79">
        <v>1237.2</v>
      </c>
      <c r="AZ47" s="79">
        <v>3226.7</v>
      </c>
      <c r="BA47" s="130">
        <v>-8128.7200000000012</v>
      </c>
      <c r="BC47" s="127" t="s">
        <v>311</v>
      </c>
    </row>
    <row r="48" spans="1:55" s="80" customFormat="1" hidden="1" x14ac:dyDescent="0.25">
      <c r="A48" s="131" t="s">
        <v>162</v>
      </c>
      <c r="B48" s="80" t="s">
        <v>157</v>
      </c>
      <c r="C48" s="118">
        <f t="shared" si="2"/>
        <v>5000</v>
      </c>
      <c r="D48" s="118">
        <v>0</v>
      </c>
      <c r="E48" s="118">
        <f t="shared" si="3"/>
        <v>36115.03</v>
      </c>
      <c r="F48" s="118"/>
      <c r="G48" s="118"/>
      <c r="H48" s="118">
        <f t="shared" si="4"/>
        <v>41115.03</v>
      </c>
      <c r="I48" s="118">
        <f t="shared" si="5"/>
        <v>0</v>
      </c>
      <c r="J48" s="119">
        <f t="shared" si="6"/>
        <v>0</v>
      </c>
      <c r="K48" s="118">
        <f t="shared" si="7"/>
        <v>0</v>
      </c>
      <c r="L48" s="118">
        <f t="shared" si="0"/>
        <v>0</v>
      </c>
      <c r="M48" s="118">
        <f t="shared" si="8"/>
        <v>45.15</v>
      </c>
      <c r="N48" s="118">
        <f t="shared" si="9"/>
        <v>0</v>
      </c>
      <c r="O48" s="118">
        <f t="shared" si="10"/>
        <v>4106.9880000000003</v>
      </c>
      <c r="P48" s="118">
        <f t="shared" si="11"/>
        <v>4152.1379999999999</v>
      </c>
      <c r="Q48" s="118">
        <f t="shared" si="12"/>
        <v>36962.892</v>
      </c>
      <c r="R48" s="120">
        <f t="shared" si="13"/>
        <v>41069.879999999997</v>
      </c>
      <c r="S48" s="120">
        <f t="shared" si="14"/>
        <v>0</v>
      </c>
      <c r="T48" s="120">
        <f>+'C&amp;A'!D48*0.02</f>
        <v>21.911999999999999</v>
      </c>
      <c r="U48" s="120">
        <f t="shared" si="15"/>
        <v>41091.791999999994</v>
      </c>
      <c r="V48" s="120">
        <f t="shared" si="16"/>
        <v>6574.6867199999988</v>
      </c>
      <c r="W48" s="120">
        <f t="shared" si="17"/>
        <v>47666.478719999992</v>
      </c>
      <c r="X48" s="121" t="s">
        <v>200</v>
      </c>
      <c r="Y48" s="121" t="s">
        <v>245</v>
      </c>
      <c r="Z48" s="122"/>
      <c r="AA48" s="121" t="s">
        <v>246</v>
      </c>
      <c r="AB48" s="121"/>
      <c r="AC48" s="121"/>
      <c r="AD48" s="123">
        <v>1237.2399999999998</v>
      </c>
      <c r="AE48" s="135">
        <v>3762.76</v>
      </c>
      <c r="AF48" s="123">
        <v>5000</v>
      </c>
      <c r="AG48" s="123">
        <v>36115.03</v>
      </c>
      <c r="AH48" s="123">
        <f t="shared" si="20"/>
        <v>0</v>
      </c>
      <c r="AI48" s="123"/>
      <c r="AJ48" s="123"/>
      <c r="AK48" s="124">
        <v>45.15</v>
      </c>
      <c r="AL48" s="125">
        <f t="shared" si="18"/>
        <v>41069.879999999997</v>
      </c>
      <c r="AM48" s="123"/>
      <c r="AN48" s="126"/>
      <c r="AO48" s="126"/>
      <c r="AP48" s="126"/>
      <c r="AQ48" s="48"/>
      <c r="AR48" s="48">
        <v>0</v>
      </c>
      <c r="AS48" s="125">
        <v>41069.879999999997</v>
      </c>
      <c r="AT48" s="126">
        <v>4106.9880000000003</v>
      </c>
      <c r="AU48" s="125">
        <f t="shared" si="19"/>
        <v>36962.892</v>
      </c>
      <c r="AV48" s="126">
        <v>0</v>
      </c>
      <c r="AW48" s="126">
        <v>24.744799999999998</v>
      </c>
      <c r="AX48" s="125">
        <v>41094.624799999998</v>
      </c>
      <c r="AY48" s="79">
        <v>1237.2</v>
      </c>
      <c r="AZ48" s="79">
        <v>14581.2</v>
      </c>
      <c r="BA48" s="119">
        <v>-21144.491999999998</v>
      </c>
      <c r="BC48" s="127" t="s">
        <v>311</v>
      </c>
    </row>
    <row r="49" spans="1:64" s="80" customFormat="1" hidden="1" x14ac:dyDescent="0.25">
      <c r="A49" s="117" t="s">
        <v>86</v>
      </c>
      <c r="B49" s="80" t="s">
        <v>87</v>
      </c>
      <c r="C49" s="118">
        <f t="shared" si="2"/>
        <v>2000</v>
      </c>
      <c r="D49" s="118">
        <v>0</v>
      </c>
      <c r="E49" s="118">
        <f t="shared" si="3"/>
        <v>8981.98</v>
      </c>
      <c r="F49" s="118"/>
      <c r="G49" s="118"/>
      <c r="H49" s="118">
        <f t="shared" si="4"/>
        <v>10981.98</v>
      </c>
      <c r="I49" s="118">
        <f t="shared" si="5"/>
        <v>0</v>
      </c>
      <c r="J49" s="119">
        <f t="shared" si="6"/>
        <v>0</v>
      </c>
      <c r="K49" s="118">
        <f t="shared" si="7"/>
        <v>0</v>
      </c>
      <c r="L49" s="118">
        <f t="shared" si="0"/>
        <v>0</v>
      </c>
      <c r="M49" s="118">
        <f t="shared" si="8"/>
        <v>45.15</v>
      </c>
      <c r="N49" s="118">
        <f t="shared" si="9"/>
        <v>1280.0899999999999</v>
      </c>
      <c r="O49" s="118">
        <f t="shared" si="10"/>
        <v>1112.556</v>
      </c>
      <c r="P49" s="118">
        <f t="shared" si="11"/>
        <v>2437.7960000000003</v>
      </c>
      <c r="Q49" s="118">
        <f t="shared" si="12"/>
        <v>8544.1839999999993</v>
      </c>
      <c r="R49" s="120">
        <f t="shared" si="13"/>
        <v>10936.83</v>
      </c>
      <c r="S49" s="120">
        <f t="shared" si="14"/>
        <v>0</v>
      </c>
      <c r="T49" s="120">
        <f>+'C&amp;A'!D49*0.02</f>
        <v>21.911999999999999</v>
      </c>
      <c r="U49" s="120">
        <f t="shared" si="15"/>
        <v>10958.742</v>
      </c>
      <c r="V49" s="120">
        <f t="shared" si="16"/>
        <v>1753.3987200000001</v>
      </c>
      <c r="W49" s="120">
        <f t="shared" si="17"/>
        <v>12712.140719999999</v>
      </c>
      <c r="X49" s="121" t="s">
        <v>225</v>
      </c>
      <c r="Y49" s="121" t="s">
        <v>247</v>
      </c>
      <c r="Z49" s="122" t="s">
        <v>86</v>
      </c>
      <c r="AA49" s="121" t="s">
        <v>248</v>
      </c>
      <c r="AB49" s="121"/>
      <c r="AC49" s="121"/>
      <c r="AD49" s="123">
        <v>1237.2399999999998</v>
      </c>
      <c r="AE49" s="121">
        <v>762.76000000000022</v>
      </c>
      <c r="AF49" s="123">
        <v>2000</v>
      </c>
      <c r="AG49" s="123">
        <v>8981.98</v>
      </c>
      <c r="AH49" s="123">
        <f t="shared" si="20"/>
        <v>0</v>
      </c>
      <c r="AI49" s="123"/>
      <c r="AJ49" s="123"/>
      <c r="AK49" s="124">
        <v>45.15</v>
      </c>
      <c r="AL49" s="125">
        <f t="shared" si="18"/>
        <v>10936.83</v>
      </c>
      <c r="AM49" s="123"/>
      <c r="AN49" s="126"/>
      <c r="AO49" s="126"/>
      <c r="AP49" s="126"/>
      <c r="AQ49" s="48"/>
      <c r="AR49" s="48">
        <v>1280.0899999999999</v>
      </c>
      <c r="AS49" s="125">
        <v>9845.4699999999993</v>
      </c>
      <c r="AT49" s="126">
        <v>1112.556</v>
      </c>
      <c r="AU49" s="125">
        <f t="shared" si="19"/>
        <v>8544.1839999999993</v>
      </c>
      <c r="AV49" s="126">
        <v>0</v>
      </c>
      <c r="AW49" s="126">
        <v>24.744799999999998</v>
      </c>
      <c r="AX49" s="125">
        <v>11150.3048</v>
      </c>
      <c r="AY49" s="79">
        <v>834.2</v>
      </c>
      <c r="AZ49" s="79">
        <v>74.44</v>
      </c>
      <c r="BA49" s="119">
        <v>-7824.2739999999985</v>
      </c>
      <c r="BC49" s="127" t="s">
        <v>314</v>
      </c>
    </row>
    <row r="50" spans="1:64" s="80" customFormat="1" hidden="1" x14ac:dyDescent="0.25">
      <c r="A50" s="117" t="s">
        <v>88</v>
      </c>
      <c r="B50" s="80" t="s">
        <v>89</v>
      </c>
      <c r="C50" s="118">
        <f t="shared" si="2"/>
        <v>1200</v>
      </c>
      <c r="D50" s="118">
        <v>0</v>
      </c>
      <c r="E50" s="118">
        <f t="shared" si="3"/>
        <v>4980.6899999999996</v>
      </c>
      <c r="F50" s="118"/>
      <c r="G50" s="118"/>
      <c r="H50" s="118">
        <f t="shared" si="4"/>
        <v>6180.69</v>
      </c>
      <c r="I50" s="118">
        <f t="shared" si="5"/>
        <v>0</v>
      </c>
      <c r="J50" s="119">
        <f t="shared" si="6"/>
        <v>0</v>
      </c>
      <c r="K50" s="118">
        <f t="shared" si="7"/>
        <v>0</v>
      </c>
      <c r="L50" s="118">
        <f t="shared" si="0"/>
        <v>0</v>
      </c>
      <c r="M50" s="118">
        <f t="shared" si="8"/>
        <v>45.15</v>
      </c>
      <c r="N50" s="118">
        <f t="shared" si="9"/>
        <v>0</v>
      </c>
      <c r="O50" s="118">
        <f t="shared" si="10"/>
        <v>626.06600000000003</v>
      </c>
      <c r="P50" s="118">
        <f t="shared" si="11"/>
        <v>671.21600000000001</v>
      </c>
      <c r="Q50" s="118">
        <f t="shared" si="12"/>
        <v>5509.4739999999993</v>
      </c>
      <c r="R50" s="120">
        <f t="shared" si="13"/>
        <v>6135.54</v>
      </c>
      <c r="S50" s="120">
        <f t="shared" si="14"/>
        <v>0</v>
      </c>
      <c r="T50" s="120">
        <f>+'C&amp;A'!D50*0.02</f>
        <v>21.911999999999999</v>
      </c>
      <c r="U50" s="120">
        <f t="shared" si="15"/>
        <v>6157.4520000000002</v>
      </c>
      <c r="V50" s="120">
        <f t="shared" si="16"/>
        <v>985.19232000000011</v>
      </c>
      <c r="W50" s="120">
        <f t="shared" si="17"/>
        <v>7142.6443200000003</v>
      </c>
      <c r="X50" s="121" t="s">
        <v>233</v>
      </c>
      <c r="Y50" s="121" t="s">
        <v>249</v>
      </c>
      <c r="Z50" s="121" t="s">
        <v>88</v>
      </c>
      <c r="AA50" s="121" t="s">
        <v>121</v>
      </c>
      <c r="AB50" s="121"/>
      <c r="AC50" s="121"/>
      <c r="AD50" s="123">
        <v>1237.2399999999998</v>
      </c>
      <c r="AE50" s="121">
        <v>-37.239999999999782</v>
      </c>
      <c r="AF50" s="123">
        <v>1200</v>
      </c>
      <c r="AG50" s="123">
        <v>4980.6899999999996</v>
      </c>
      <c r="AH50" s="123">
        <f t="shared" si="20"/>
        <v>0</v>
      </c>
      <c r="AI50" s="123"/>
      <c r="AJ50" s="123"/>
      <c r="AK50" s="124">
        <v>45.15</v>
      </c>
      <c r="AL50" s="125">
        <f t="shared" si="18"/>
        <v>6135.54</v>
      </c>
      <c r="AM50" s="123"/>
      <c r="AN50" s="126"/>
      <c r="AO50" s="126"/>
      <c r="AP50" s="126"/>
      <c r="AQ50" s="48"/>
      <c r="AR50" s="48">
        <v>0</v>
      </c>
      <c r="AS50" s="125">
        <v>6260.66</v>
      </c>
      <c r="AT50" s="126">
        <v>626.06600000000003</v>
      </c>
      <c r="AU50" s="125">
        <f t="shared" si="19"/>
        <v>5509.4740000000002</v>
      </c>
      <c r="AV50" s="126">
        <v>0</v>
      </c>
      <c r="AW50" s="126">
        <v>24.744799999999998</v>
      </c>
      <c r="AX50" s="125">
        <v>6285.4048000000003</v>
      </c>
      <c r="AY50" s="79">
        <v>1237.2</v>
      </c>
      <c r="AZ50" s="79">
        <v>2181.23</v>
      </c>
      <c r="BA50" s="130">
        <v>-2216.1639999999998</v>
      </c>
      <c r="BC50" s="127" t="s">
        <v>314</v>
      </c>
    </row>
    <row r="51" spans="1:64" s="80" customFormat="1" hidden="1" x14ac:dyDescent="0.25">
      <c r="A51" s="117" t="s">
        <v>90</v>
      </c>
      <c r="B51" s="80" t="s">
        <v>91</v>
      </c>
      <c r="C51" s="118">
        <f t="shared" si="2"/>
        <v>1200</v>
      </c>
      <c r="D51" s="118">
        <v>0</v>
      </c>
      <c r="E51" s="118">
        <f t="shared" si="3"/>
        <v>3107.24</v>
      </c>
      <c r="F51" s="118"/>
      <c r="G51" s="118"/>
      <c r="H51" s="118">
        <f t="shared" si="4"/>
        <v>4307.24</v>
      </c>
      <c r="I51" s="118">
        <f t="shared" si="5"/>
        <v>0</v>
      </c>
      <c r="J51" s="119">
        <f t="shared" si="6"/>
        <v>0</v>
      </c>
      <c r="K51" s="118">
        <f t="shared" si="7"/>
        <v>0</v>
      </c>
      <c r="L51" s="118">
        <f t="shared" si="0"/>
        <v>0</v>
      </c>
      <c r="M51" s="118">
        <f t="shared" si="8"/>
        <v>45.15</v>
      </c>
      <c r="N51" s="118">
        <f t="shared" si="9"/>
        <v>0</v>
      </c>
      <c r="O51" s="118">
        <f t="shared" si="10"/>
        <v>0</v>
      </c>
      <c r="P51" s="118">
        <f t="shared" si="11"/>
        <v>45.15</v>
      </c>
      <c r="Q51" s="118">
        <f t="shared" si="12"/>
        <v>4262.09</v>
      </c>
      <c r="R51" s="120">
        <f t="shared" si="13"/>
        <v>4262.09</v>
      </c>
      <c r="S51" s="120">
        <f t="shared" si="14"/>
        <v>426.20900000000006</v>
      </c>
      <c r="T51" s="120">
        <f>+'C&amp;A'!D51*0.02</f>
        <v>21.911999999999999</v>
      </c>
      <c r="U51" s="120">
        <f t="shared" si="15"/>
        <v>4710.2110000000002</v>
      </c>
      <c r="V51" s="120">
        <f t="shared" si="16"/>
        <v>753.63376000000005</v>
      </c>
      <c r="W51" s="120">
        <f t="shared" si="17"/>
        <v>5463.84476</v>
      </c>
      <c r="X51" s="121" t="s">
        <v>233</v>
      </c>
      <c r="Y51" s="121" t="s">
        <v>139</v>
      </c>
      <c r="Z51" s="121">
        <v>33</v>
      </c>
      <c r="AA51" s="121" t="s">
        <v>250</v>
      </c>
      <c r="AB51" s="121"/>
      <c r="AC51" s="121"/>
      <c r="AD51" s="123">
        <v>1237.2399999999998</v>
      </c>
      <c r="AE51" s="121">
        <v>-37.239999999999782</v>
      </c>
      <c r="AF51" s="123">
        <v>1200</v>
      </c>
      <c r="AG51" s="123">
        <v>3107.24</v>
      </c>
      <c r="AH51" s="123">
        <f t="shared" si="20"/>
        <v>0</v>
      </c>
      <c r="AI51" s="123"/>
      <c r="AJ51" s="123"/>
      <c r="AK51" s="124">
        <v>45.15</v>
      </c>
      <c r="AL51" s="125">
        <f t="shared" si="18"/>
        <v>4262.09</v>
      </c>
      <c r="AM51" s="123"/>
      <c r="AN51" s="126"/>
      <c r="AO51" s="126"/>
      <c r="AP51" s="126"/>
      <c r="AQ51" s="48"/>
      <c r="AR51" s="48">
        <v>0</v>
      </c>
      <c r="AS51" s="125">
        <v>4262.09</v>
      </c>
      <c r="AT51" s="126">
        <v>0</v>
      </c>
      <c r="AU51" s="125">
        <f t="shared" si="19"/>
        <v>4262.09</v>
      </c>
      <c r="AV51" s="126">
        <v>426.20900000000006</v>
      </c>
      <c r="AW51" s="126">
        <v>24.744799999999998</v>
      </c>
      <c r="AX51" s="125">
        <v>4713.0438000000004</v>
      </c>
      <c r="AY51" s="79">
        <v>1237.2</v>
      </c>
      <c r="AZ51" s="79">
        <v>3991.77</v>
      </c>
      <c r="BA51" s="130">
        <v>966.88000000000011</v>
      </c>
      <c r="BC51" s="127" t="s">
        <v>314</v>
      </c>
    </row>
    <row r="52" spans="1:64" s="80" customFormat="1" hidden="1" x14ac:dyDescent="0.25">
      <c r="A52" s="117" t="s">
        <v>92</v>
      </c>
      <c r="B52" s="80" t="s">
        <v>93</v>
      </c>
      <c r="C52" s="118">
        <f t="shared" si="2"/>
        <v>2000</v>
      </c>
      <c r="D52" s="118">
        <v>0</v>
      </c>
      <c r="E52" s="118">
        <f t="shared" si="3"/>
        <v>5129.58</v>
      </c>
      <c r="F52" s="118"/>
      <c r="G52" s="118"/>
      <c r="H52" s="118">
        <f t="shared" si="4"/>
        <v>7129.58</v>
      </c>
      <c r="I52" s="118">
        <f t="shared" si="5"/>
        <v>0</v>
      </c>
      <c r="J52" s="119">
        <f t="shared" si="6"/>
        <v>0</v>
      </c>
      <c r="K52" s="118">
        <f t="shared" si="7"/>
        <v>0</v>
      </c>
      <c r="L52" s="118">
        <f t="shared" si="0"/>
        <v>0</v>
      </c>
      <c r="M52" s="118">
        <f t="shared" si="8"/>
        <v>45.15</v>
      </c>
      <c r="N52" s="118">
        <f t="shared" si="9"/>
        <v>0</v>
      </c>
      <c r="O52" s="118">
        <f t="shared" si="10"/>
        <v>727.31600000000003</v>
      </c>
      <c r="P52" s="118">
        <f t="shared" si="11"/>
        <v>772.46600000000001</v>
      </c>
      <c r="Q52" s="118">
        <f t="shared" si="12"/>
        <v>6357.1139999999996</v>
      </c>
      <c r="R52" s="120">
        <f t="shared" si="13"/>
        <v>7084.43</v>
      </c>
      <c r="S52" s="120">
        <f t="shared" si="14"/>
        <v>0</v>
      </c>
      <c r="T52" s="120">
        <f>+'C&amp;A'!D52*0.02</f>
        <v>21.911999999999999</v>
      </c>
      <c r="U52" s="120">
        <f t="shared" si="15"/>
        <v>7106.3420000000006</v>
      </c>
      <c r="V52" s="120">
        <f t="shared" si="16"/>
        <v>1137.0147200000001</v>
      </c>
      <c r="W52" s="120">
        <f t="shared" si="17"/>
        <v>8243.3567199999998</v>
      </c>
      <c r="X52" s="121" t="s">
        <v>251</v>
      </c>
      <c r="Y52" s="121" t="s">
        <v>134</v>
      </c>
      <c r="Z52" s="122" t="s">
        <v>92</v>
      </c>
      <c r="AA52" s="121" t="s">
        <v>252</v>
      </c>
      <c r="AB52" s="121"/>
      <c r="AC52" s="121"/>
      <c r="AD52" s="123">
        <v>1237.2399999999998</v>
      </c>
      <c r="AE52" s="121">
        <v>762.76000000000022</v>
      </c>
      <c r="AF52" s="123">
        <v>2000</v>
      </c>
      <c r="AG52" s="123">
        <v>5129.58</v>
      </c>
      <c r="AH52" s="123">
        <f t="shared" si="20"/>
        <v>0</v>
      </c>
      <c r="AI52" s="123"/>
      <c r="AJ52" s="123"/>
      <c r="AK52" s="124">
        <v>45.15</v>
      </c>
      <c r="AL52" s="125">
        <f t="shared" si="18"/>
        <v>7084.43</v>
      </c>
      <c r="AM52" s="123"/>
      <c r="AN52" s="126"/>
      <c r="AO52" s="126"/>
      <c r="AP52" s="126"/>
      <c r="AQ52" s="48"/>
      <c r="AR52" s="48">
        <v>0</v>
      </c>
      <c r="AS52" s="125">
        <v>7273.16</v>
      </c>
      <c r="AT52" s="126">
        <v>727.31600000000003</v>
      </c>
      <c r="AU52" s="125">
        <f t="shared" si="19"/>
        <v>6357.1140000000005</v>
      </c>
      <c r="AV52" s="126">
        <v>0</v>
      </c>
      <c r="AW52" s="126">
        <v>24.744799999999998</v>
      </c>
      <c r="AX52" s="125">
        <v>7297.9048000000003</v>
      </c>
      <c r="AY52" s="79">
        <v>1237.2</v>
      </c>
      <c r="AZ52" s="79">
        <v>734.25</v>
      </c>
      <c r="BA52" s="130">
        <v>-4574.3940000000002</v>
      </c>
      <c r="BC52" s="127" t="s">
        <v>315</v>
      </c>
    </row>
    <row r="53" spans="1:64" s="80" customFormat="1" hidden="1" x14ac:dyDescent="0.25">
      <c r="A53" s="117" t="s">
        <v>94</v>
      </c>
      <c r="B53" s="80" t="s">
        <v>95</v>
      </c>
      <c r="C53" s="118">
        <f t="shared" si="2"/>
        <v>3000</v>
      </c>
      <c r="D53" s="118">
        <v>0</v>
      </c>
      <c r="E53" s="118">
        <f t="shared" si="3"/>
        <v>2000</v>
      </c>
      <c r="F53" s="118"/>
      <c r="G53" s="118"/>
      <c r="H53" s="118">
        <f t="shared" si="4"/>
        <v>5000</v>
      </c>
      <c r="I53" s="118">
        <f t="shared" si="5"/>
        <v>0</v>
      </c>
      <c r="J53" s="119">
        <f t="shared" si="6"/>
        <v>0</v>
      </c>
      <c r="K53" s="118">
        <f t="shared" si="7"/>
        <v>0</v>
      </c>
      <c r="L53" s="118">
        <f t="shared" si="0"/>
        <v>0</v>
      </c>
      <c r="M53" s="118">
        <f t="shared" si="8"/>
        <v>45.15</v>
      </c>
      <c r="N53" s="118">
        <f t="shared" si="9"/>
        <v>0</v>
      </c>
      <c r="O53" s="118">
        <f t="shared" si="10"/>
        <v>514.35800000000006</v>
      </c>
      <c r="P53" s="118">
        <f t="shared" si="11"/>
        <v>559.50800000000004</v>
      </c>
      <c r="Q53" s="118">
        <f t="shared" si="12"/>
        <v>4440.4920000000002</v>
      </c>
      <c r="R53" s="120">
        <f t="shared" si="13"/>
        <v>4954.8500000000004</v>
      </c>
      <c r="S53" s="120">
        <f t="shared" si="14"/>
        <v>0</v>
      </c>
      <c r="T53" s="120">
        <f>+'C&amp;A'!D53*0.02</f>
        <v>21.911999999999999</v>
      </c>
      <c r="U53" s="120">
        <f t="shared" si="15"/>
        <v>4976.7620000000006</v>
      </c>
      <c r="V53" s="120">
        <f t="shared" si="16"/>
        <v>796.28192000000013</v>
      </c>
      <c r="W53" s="120">
        <f t="shared" si="17"/>
        <v>5773.043920000001</v>
      </c>
      <c r="X53" s="121" t="s">
        <v>192</v>
      </c>
      <c r="Y53" s="121" t="s">
        <v>253</v>
      </c>
      <c r="Z53" s="122" t="s">
        <v>94</v>
      </c>
      <c r="AA53" s="121" t="s">
        <v>254</v>
      </c>
      <c r="AB53" s="121"/>
      <c r="AC53" s="121"/>
      <c r="AD53" s="123">
        <v>1237.2399999999998</v>
      </c>
      <c r="AE53" s="135">
        <v>1762.76</v>
      </c>
      <c r="AF53" s="123">
        <v>3000</v>
      </c>
      <c r="AG53" s="123">
        <v>2000</v>
      </c>
      <c r="AH53" s="123">
        <f t="shared" si="20"/>
        <v>0</v>
      </c>
      <c r="AI53" s="123"/>
      <c r="AJ53" s="123"/>
      <c r="AK53" s="124">
        <v>45.15</v>
      </c>
      <c r="AL53" s="125">
        <f t="shared" si="18"/>
        <v>4954.8500000000004</v>
      </c>
      <c r="AM53" s="123"/>
      <c r="AN53" s="126"/>
      <c r="AO53" s="126"/>
      <c r="AP53" s="126"/>
      <c r="AQ53" s="48"/>
      <c r="AR53" s="48">
        <v>0</v>
      </c>
      <c r="AS53" s="125">
        <v>5143.58</v>
      </c>
      <c r="AT53" s="126">
        <v>514.35800000000006</v>
      </c>
      <c r="AU53" s="125">
        <f t="shared" si="19"/>
        <v>4440.4920000000002</v>
      </c>
      <c r="AV53" s="126">
        <v>0</v>
      </c>
      <c r="AW53" s="126">
        <v>24.744799999999998</v>
      </c>
      <c r="AX53" s="125">
        <v>5168.3248000000003</v>
      </c>
      <c r="AY53" s="79">
        <v>1237.2</v>
      </c>
      <c r="AZ53" s="79">
        <v>951.53</v>
      </c>
      <c r="BA53" s="119">
        <v>-2440.4919999999997</v>
      </c>
      <c r="BC53" s="127" t="s">
        <v>311</v>
      </c>
    </row>
    <row r="54" spans="1:64" s="80" customFormat="1" hidden="1" x14ac:dyDescent="0.25">
      <c r="A54" s="117"/>
      <c r="B54" s="121" t="s">
        <v>301</v>
      </c>
      <c r="C54" s="118">
        <f t="shared" si="2"/>
        <v>3000</v>
      </c>
      <c r="D54" s="118">
        <v>145.37389713135775</v>
      </c>
      <c r="E54" s="118">
        <f t="shared" si="3"/>
        <v>0</v>
      </c>
      <c r="F54" s="118"/>
      <c r="G54" s="118"/>
      <c r="H54" s="118">
        <f t="shared" si="4"/>
        <v>3145.3738971313578</v>
      </c>
      <c r="I54" s="118">
        <f t="shared" si="5"/>
        <v>0</v>
      </c>
      <c r="J54" s="119">
        <f t="shared" si="6"/>
        <v>0</v>
      </c>
      <c r="K54" s="118">
        <f t="shared" si="7"/>
        <v>0</v>
      </c>
      <c r="L54" s="118">
        <f t="shared" si="0"/>
        <v>0</v>
      </c>
      <c r="M54" s="118">
        <f t="shared" si="8"/>
        <v>45.15</v>
      </c>
      <c r="N54" s="118">
        <f t="shared" si="9"/>
        <v>0</v>
      </c>
      <c r="O54" s="118">
        <f t="shared" si="10"/>
        <v>0</v>
      </c>
      <c r="P54" s="118">
        <f t="shared" si="11"/>
        <v>45.15</v>
      </c>
      <c r="Q54" s="118">
        <f t="shared" si="12"/>
        <v>3100.2238971313577</v>
      </c>
      <c r="R54" s="120">
        <f t="shared" si="13"/>
        <v>3100.2238971313577</v>
      </c>
      <c r="S54" s="120">
        <f t="shared" si="14"/>
        <v>295.48500000000001</v>
      </c>
      <c r="T54" s="120">
        <f>+'C&amp;A'!D54*0.02</f>
        <v>21.911999999999999</v>
      </c>
      <c r="U54" s="120">
        <f t="shared" si="15"/>
        <v>3417.6208971313577</v>
      </c>
      <c r="V54" s="120">
        <f t="shared" si="16"/>
        <v>546.81934354101725</v>
      </c>
      <c r="W54" s="120">
        <f t="shared" si="17"/>
        <v>3964.4402406723748</v>
      </c>
      <c r="X54" s="121" t="s">
        <v>225</v>
      </c>
      <c r="Y54" s="121" t="s">
        <v>301</v>
      </c>
      <c r="Z54" s="122"/>
      <c r="AA54" s="121" t="s">
        <v>214</v>
      </c>
      <c r="AB54" s="121"/>
      <c r="AC54" s="121"/>
      <c r="AD54" s="123">
        <v>1237.2399999999998</v>
      </c>
      <c r="AE54" s="135">
        <v>1762.76</v>
      </c>
      <c r="AF54" s="123">
        <v>3000</v>
      </c>
      <c r="AG54" s="123"/>
      <c r="AH54" s="123">
        <f t="shared" si="20"/>
        <v>145.37389713135775</v>
      </c>
      <c r="AI54" s="123"/>
      <c r="AJ54" s="123"/>
      <c r="AK54" s="124">
        <v>45.15</v>
      </c>
      <c r="AL54" s="125">
        <f t="shared" si="18"/>
        <v>3100.2238971313577</v>
      </c>
      <c r="AM54" s="123"/>
      <c r="AN54" s="126"/>
      <c r="AO54" s="126"/>
      <c r="AP54" s="126"/>
      <c r="AQ54" s="123"/>
      <c r="AR54" s="48">
        <v>0</v>
      </c>
      <c r="AS54" s="125">
        <v>2954.85</v>
      </c>
      <c r="AT54" s="126">
        <v>0</v>
      </c>
      <c r="AU54" s="125">
        <f t="shared" si="19"/>
        <v>3100.2238971313577</v>
      </c>
      <c r="AV54" s="126">
        <v>295.48500000000001</v>
      </c>
      <c r="AW54" s="126">
        <v>24.744799999999998</v>
      </c>
      <c r="AX54" s="125">
        <v>3275.0798</v>
      </c>
      <c r="AY54" s="79"/>
      <c r="AZ54" s="79"/>
      <c r="BA54" s="119"/>
      <c r="BB54" s="80" t="s">
        <v>302</v>
      </c>
      <c r="BC54" s="127" t="s">
        <v>314</v>
      </c>
    </row>
    <row r="55" spans="1:64" s="80" customFormat="1" hidden="1" x14ac:dyDescent="0.25">
      <c r="A55" s="117" t="s">
        <v>96</v>
      </c>
      <c r="B55" s="80" t="s">
        <v>97</v>
      </c>
      <c r="C55" s="118">
        <f t="shared" si="2"/>
        <v>1200</v>
      </c>
      <c r="D55" s="118">
        <v>0</v>
      </c>
      <c r="E55" s="118">
        <f t="shared" si="3"/>
        <v>4932</v>
      </c>
      <c r="F55" s="118"/>
      <c r="G55" s="118"/>
      <c r="H55" s="118">
        <f t="shared" si="4"/>
        <v>6132</v>
      </c>
      <c r="I55" s="118">
        <f t="shared" si="5"/>
        <v>0</v>
      </c>
      <c r="J55" s="119">
        <f t="shared" si="6"/>
        <v>0</v>
      </c>
      <c r="K55" s="118">
        <f t="shared" si="7"/>
        <v>0</v>
      </c>
      <c r="L55" s="118">
        <f t="shared" si="0"/>
        <v>0</v>
      </c>
      <c r="M55" s="118">
        <f t="shared" si="8"/>
        <v>45.15</v>
      </c>
      <c r="N55" s="118">
        <f t="shared" si="9"/>
        <v>0</v>
      </c>
      <c r="O55" s="118">
        <f t="shared" si="10"/>
        <v>621.19700000000012</v>
      </c>
      <c r="P55" s="118">
        <f t="shared" si="11"/>
        <v>666.34700000000009</v>
      </c>
      <c r="Q55" s="118">
        <f t="shared" si="12"/>
        <v>5465.6530000000002</v>
      </c>
      <c r="R55" s="120">
        <f t="shared" si="13"/>
        <v>6086.85</v>
      </c>
      <c r="S55" s="120">
        <f t="shared" si="14"/>
        <v>0</v>
      </c>
      <c r="T55" s="120">
        <f>+'C&amp;A'!D55*0.02</f>
        <v>21.911999999999999</v>
      </c>
      <c r="U55" s="120">
        <f t="shared" si="15"/>
        <v>6108.7620000000006</v>
      </c>
      <c r="V55" s="120">
        <f t="shared" si="16"/>
        <v>977.40192000000013</v>
      </c>
      <c r="W55" s="120">
        <f t="shared" si="17"/>
        <v>7086.1639200000009</v>
      </c>
      <c r="X55" s="121" t="s">
        <v>190</v>
      </c>
      <c r="Y55" s="121" t="s">
        <v>137</v>
      </c>
      <c r="Z55" s="122" t="s">
        <v>96</v>
      </c>
      <c r="AA55" s="121" t="s">
        <v>122</v>
      </c>
      <c r="AB55" s="121"/>
      <c r="AC55" s="121"/>
      <c r="AD55" s="123">
        <v>1237.2399999999998</v>
      </c>
      <c r="AE55" s="121">
        <v>-37.239999999999782</v>
      </c>
      <c r="AF55" s="123">
        <v>1200</v>
      </c>
      <c r="AG55" s="123">
        <v>4932</v>
      </c>
      <c r="AH55" s="123">
        <f t="shared" si="20"/>
        <v>0</v>
      </c>
      <c r="AI55" s="123"/>
      <c r="AJ55" s="123"/>
      <c r="AK55" s="124">
        <v>45.15</v>
      </c>
      <c r="AL55" s="125">
        <f t="shared" si="18"/>
        <v>6086.85</v>
      </c>
      <c r="AM55" s="123"/>
      <c r="AN55" s="126"/>
      <c r="AO55" s="126"/>
      <c r="AP55" s="126"/>
      <c r="AQ55" s="48"/>
      <c r="AR55" s="48">
        <v>0</v>
      </c>
      <c r="AS55" s="125">
        <v>6211.97</v>
      </c>
      <c r="AT55" s="126">
        <v>621.19700000000012</v>
      </c>
      <c r="AU55" s="125">
        <f t="shared" si="19"/>
        <v>5465.6530000000002</v>
      </c>
      <c r="AV55" s="126">
        <v>0</v>
      </c>
      <c r="AW55" s="126">
        <v>24.744799999999998</v>
      </c>
      <c r="AX55" s="125">
        <v>6236.7148000000007</v>
      </c>
      <c r="AY55" s="79">
        <v>1237.2</v>
      </c>
      <c r="AZ55" s="79">
        <v>2130.42</v>
      </c>
      <c r="BA55" s="130">
        <v>-2223.1530000000002</v>
      </c>
      <c r="BC55" s="127" t="s">
        <v>314</v>
      </c>
    </row>
    <row r="56" spans="1:64" s="80" customFormat="1" hidden="1" x14ac:dyDescent="0.25">
      <c r="A56" s="117" t="s">
        <v>98</v>
      </c>
      <c r="B56" s="80" t="s">
        <v>99</v>
      </c>
      <c r="C56" s="118">
        <f t="shared" si="2"/>
        <v>1200</v>
      </c>
      <c r="D56" s="118">
        <v>0</v>
      </c>
      <c r="E56" s="118">
        <f t="shared" si="3"/>
        <v>5117.09</v>
      </c>
      <c r="F56" s="118"/>
      <c r="G56" s="118"/>
      <c r="H56" s="118">
        <f t="shared" si="4"/>
        <v>6317.09</v>
      </c>
      <c r="I56" s="118">
        <f t="shared" si="5"/>
        <v>0</v>
      </c>
      <c r="J56" s="119">
        <f t="shared" si="6"/>
        <v>0</v>
      </c>
      <c r="K56" s="118">
        <f t="shared" si="7"/>
        <v>0</v>
      </c>
      <c r="L56" s="118">
        <f t="shared" si="0"/>
        <v>0</v>
      </c>
      <c r="M56" s="118">
        <f t="shared" si="8"/>
        <v>45.15</v>
      </c>
      <c r="N56" s="118">
        <f t="shared" si="9"/>
        <v>340.56</v>
      </c>
      <c r="O56" s="118">
        <f t="shared" si="10"/>
        <v>627.19400000000007</v>
      </c>
      <c r="P56" s="118">
        <f t="shared" si="11"/>
        <v>1012.904</v>
      </c>
      <c r="Q56" s="118">
        <f t="shared" si="12"/>
        <v>5304.1859999999997</v>
      </c>
      <c r="R56" s="120">
        <f t="shared" si="13"/>
        <v>6271.9400000000005</v>
      </c>
      <c r="S56" s="120">
        <f t="shared" si="14"/>
        <v>0</v>
      </c>
      <c r="T56" s="120">
        <f>+'C&amp;A'!D56*0.02</f>
        <v>21.911999999999999</v>
      </c>
      <c r="U56" s="120">
        <f t="shared" si="15"/>
        <v>6293.8520000000008</v>
      </c>
      <c r="V56" s="120">
        <f t="shared" si="16"/>
        <v>1007.0163200000002</v>
      </c>
      <c r="W56" s="120">
        <f t="shared" si="17"/>
        <v>7300.8683200000014</v>
      </c>
      <c r="X56" s="121" t="s">
        <v>190</v>
      </c>
      <c r="Y56" s="121" t="s">
        <v>255</v>
      </c>
      <c r="Z56" s="122" t="s">
        <v>98</v>
      </c>
      <c r="AA56" s="121" t="s">
        <v>256</v>
      </c>
      <c r="AB56" s="121"/>
      <c r="AC56" s="121"/>
      <c r="AD56" s="123">
        <v>1237.2399999999998</v>
      </c>
      <c r="AE56" s="121">
        <v>-37.239999999999782</v>
      </c>
      <c r="AF56" s="123">
        <v>1200</v>
      </c>
      <c r="AG56" s="123">
        <v>5117.09</v>
      </c>
      <c r="AH56" s="123">
        <f t="shared" si="20"/>
        <v>0</v>
      </c>
      <c r="AI56" s="123"/>
      <c r="AJ56" s="123"/>
      <c r="AK56" s="124">
        <v>45.15</v>
      </c>
      <c r="AL56" s="125">
        <f t="shared" si="18"/>
        <v>6271.9400000000005</v>
      </c>
      <c r="AM56" s="123"/>
      <c r="AN56" s="126"/>
      <c r="AO56" s="126"/>
      <c r="AP56" s="126"/>
      <c r="AQ56" s="48"/>
      <c r="AR56" s="48">
        <v>340.56</v>
      </c>
      <c r="AS56" s="125">
        <v>5931.38</v>
      </c>
      <c r="AT56" s="126">
        <v>627.19400000000007</v>
      </c>
      <c r="AU56" s="125">
        <f t="shared" si="19"/>
        <v>5304.1859999999997</v>
      </c>
      <c r="AV56" s="126">
        <v>0</v>
      </c>
      <c r="AW56" s="126">
        <v>24.744799999999998</v>
      </c>
      <c r="AX56" s="125">
        <v>6296.6848000000009</v>
      </c>
      <c r="AY56" s="79">
        <v>1237.2</v>
      </c>
      <c r="AZ56" s="79">
        <v>4238.57</v>
      </c>
      <c r="BA56" s="130">
        <v>171.58399999999983</v>
      </c>
      <c r="BC56" s="127" t="s">
        <v>314</v>
      </c>
    </row>
    <row r="57" spans="1:64" s="80" customFormat="1" hidden="1" x14ac:dyDescent="0.25">
      <c r="A57" s="117" t="s">
        <v>100</v>
      </c>
      <c r="B57" s="80" t="s">
        <v>101</v>
      </c>
      <c r="C57" s="118">
        <f t="shared" si="2"/>
        <v>2000</v>
      </c>
      <c r="D57" s="118">
        <v>0</v>
      </c>
      <c r="E57" s="118">
        <f t="shared" si="3"/>
        <v>10707.26</v>
      </c>
      <c r="F57" s="118"/>
      <c r="G57" s="118"/>
      <c r="H57" s="118">
        <f t="shared" si="4"/>
        <v>12707.26</v>
      </c>
      <c r="I57" s="118">
        <f t="shared" si="5"/>
        <v>0</v>
      </c>
      <c r="J57" s="119">
        <f t="shared" si="6"/>
        <v>0</v>
      </c>
      <c r="K57" s="118">
        <f t="shared" si="7"/>
        <v>0</v>
      </c>
      <c r="L57" s="118">
        <f t="shared" si="0"/>
        <v>0</v>
      </c>
      <c r="M57" s="118">
        <f t="shared" si="8"/>
        <v>45.15</v>
      </c>
      <c r="N57" s="118">
        <f t="shared" si="9"/>
        <v>0</v>
      </c>
      <c r="O57" s="118">
        <f t="shared" si="10"/>
        <v>1285.0840000000001</v>
      </c>
      <c r="P57" s="118">
        <f t="shared" si="11"/>
        <v>1330.2340000000002</v>
      </c>
      <c r="Q57" s="118">
        <f t="shared" si="12"/>
        <v>11377.026</v>
      </c>
      <c r="R57" s="120">
        <f t="shared" si="13"/>
        <v>12662.11</v>
      </c>
      <c r="S57" s="120">
        <f t="shared" si="14"/>
        <v>0</v>
      </c>
      <c r="T57" s="120">
        <f>+'C&amp;A'!D57*0.02</f>
        <v>21.911999999999999</v>
      </c>
      <c r="U57" s="120">
        <f t="shared" si="15"/>
        <v>12684.022000000001</v>
      </c>
      <c r="V57" s="120">
        <f t="shared" si="16"/>
        <v>2029.4435200000003</v>
      </c>
      <c r="W57" s="120">
        <f t="shared" si="17"/>
        <v>14713.465520000002</v>
      </c>
      <c r="X57" s="121" t="s">
        <v>192</v>
      </c>
      <c r="Y57" s="121" t="s">
        <v>257</v>
      </c>
      <c r="Z57" s="122" t="s">
        <v>100</v>
      </c>
      <c r="AA57" s="121" t="s">
        <v>258</v>
      </c>
      <c r="AB57" s="121"/>
      <c r="AC57" s="121"/>
      <c r="AD57" s="123">
        <v>1237.2399999999998</v>
      </c>
      <c r="AE57" s="121">
        <v>762.76000000000022</v>
      </c>
      <c r="AF57" s="123">
        <v>2000</v>
      </c>
      <c r="AG57" s="123">
        <v>10707.26</v>
      </c>
      <c r="AH57" s="123">
        <f t="shared" si="20"/>
        <v>0</v>
      </c>
      <c r="AI57" s="123"/>
      <c r="AJ57" s="123"/>
      <c r="AK57" s="124">
        <v>45.15</v>
      </c>
      <c r="AL57" s="125">
        <f t="shared" si="18"/>
        <v>12662.11</v>
      </c>
      <c r="AM57" s="123"/>
      <c r="AN57" s="126"/>
      <c r="AO57" s="126"/>
      <c r="AP57" s="126"/>
      <c r="AQ57" s="48"/>
      <c r="AR57" s="48">
        <v>0</v>
      </c>
      <c r="AS57" s="125">
        <v>12850.84</v>
      </c>
      <c r="AT57" s="126">
        <v>1285.0840000000001</v>
      </c>
      <c r="AU57" s="125">
        <f t="shared" si="19"/>
        <v>11377.026</v>
      </c>
      <c r="AV57" s="126">
        <v>0</v>
      </c>
      <c r="AW57" s="126">
        <v>24.744799999999998</v>
      </c>
      <c r="AX57" s="125">
        <v>12875.584800000001</v>
      </c>
      <c r="AY57" s="79">
        <v>1237.2</v>
      </c>
      <c r="AZ57" s="79">
        <v>951.53</v>
      </c>
      <c r="BA57" s="119">
        <v>-9377.0259999999998</v>
      </c>
      <c r="BC57" s="127" t="s">
        <v>311</v>
      </c>
    </row>
    <row r="58" spans="1:64" s="80" customFormat="1" hidden="1" x14ac:dyDescent="0.25">
      <c r="A58" s="117" t="s">
        <v>102</v>
      </c>
      <c r="B58" s="80" t="s">
        <v>103</v>
      </c>
      <c r="C58" s="118">
        <f t="shared" si="2"/>
        <v>3500</v>
      </c>
      <c r="D58" s="118">
        <v>0</v>
      </c>
      <c r="E58" s="118">
        <f t="shared" si="3"/>
        <v>19908.830000000002</v>
      </c>
      <c r="F58" s="118"/>
      <c r="G58" s="118"/>
      <c r="H58" s="118">
        <f t="shared" si="4"/>
        <v>23408.83</v>
      </c>
      <c r="I58" s="118">
        <f t="shared" si="5"/>
        <v>0</v>
      </c>
      <c r="J58" s="119">
        <f t="shared" si="6"/>
        <v>0</v>
      </c>
      <c r="K58" s="118">
        <f t="shared" si="7"/>
        <v>0</v>
      </c>
      <c r="L58" s="118">
        <f t="shared" si="0"/>
        <v>0</v>
      </c>
      <c r="M58" s="118">
        <f t="shared" si="8"/>
        <v>45.15</v>
      </c>
      <c r="N58" s="118">
        <f t="shared" si="9"/>
        <v>0</v>
      </c>
      <c r="O58" s="118">
        <f t="shared" si="10"/>
        <v>2348.88</v>
      </c>
      <c r="P58" s="118">
        <f t="shared" si="11"/>
        <v>2394.0300000000002</v>
      </c>
      <c r="Q58" s="118">
        <f t="shared" si="12"/>
        <v>21014.800000000003</v>
      </c>
      <c r="R58" s="120">
        <f t="shared" si="13"/>
        <v>23363.68</v>
      </c>
      <c r="S58" s="120">
        <f t="shared" si="14"/>
        <v>0</v>
      </c>
      <c r="T58" s="120">
        <f>+'C&amp;A'!D58*0.02</f>
        <v>21.911999999999999</v>
      </c>
      <c r="U58" s="120">
        <f t="shared" si="15"/>
        <v>23385.592000000001</v>
      </c>
      <c r="V58" s="120">
        <f t="shared" si="16"/>
        <v>3741.69472</v>
      </c>
      <c r="W58" s="120">
        <f t="shared" si="17"/>
        <v>27127.28672</v>
      </c>
      <c r="X58" s="121" t="s">
        <v>251</v>
      </c>
      <c r="Y58" s="121" t="s">
        <v>133</v>
      </c>
      <c r="Z58" s="122">
        <v>8</v>
      </c>
      <c r="AA58" s="121" t="s">
        <v>259</v>
      </c>
      <c r="AB58" s="121"/>
      <c r="AC58" s="121"/>
      <c r="AD58" s="123">
        <v>1237.2399999999998</v>
      </c>
      <c r="AE58" s="121">
        <v>2262.7600000000002</v>
      </c>
      <c r="AF58" s="123">
        <v>3500</v>
      </c>
      <c r="AG58" s="123">
        <v>19908.830000000002</v>
      </c>
      <c r="AH58" s="123">
        <f t="shared" si="20"/>
        <v>0</v>
      </c>
      <c r="AI58" s="123"/>
      <c r="AJ58" s="123"/>
      <c r="AK58" s="124">
        <v>45.15</v>
      </c>
      <c r="AL58" s="125">
        <f t="shared" si="18"/>
        <v>23363.68</v>
      </c>
      <c r="AM58" s="123"/>
      <c r="AN58" s="126"/>
      <c r="AO58" s="126"/>
      <c r="AP58" s="126"/>
      <c r="AQ58" s="48"/>
      <c r="AR58" s="48">
        <v>0</v>
      </c>
      <c r="AS58" s="125">
        <v>23488.799999999999</v>
      </c>
      <c r="AT58" s="126">
        <v>2348.88</v>
      </c>
      <c r="AU58" s="125">
        <f t="shared" si="19"/>
        <v>21014.799999999999</v>
      </c>
      <c r="AV58" s="126">
        <v>0</v>
      </c>
      <c r="AW58" s="126">
        <v>24.744799999999998</v>
      </c>
      <c r="AX58" s="125">
        <v>23513.5448</v>
      </c>
      <c r="AY58" s="79">
        <v>1237.2</v>
      </c>
      <c r="AZ58" s="79">
        <v>2387.92</v>
      </c>
      <c r="BA58" s="119">
        <v>-17514.8</v>
      </c>
      <c r="BC58" s="127" t="s">
        <v>315</v>
      </c>
    </row>
    <row r="59" spans="1:64" s="80" customFormat="1" x14ac:dyDescent="0.25">
      <c r="A59" s="117" t="s">
        <v>104</v>
      </c>
      <c r="B59" s="80" t="s">
        <v>105</v>
      </c>
      <c r="C59" s="118">
        <f t="shared" si="2"/>
        <v>12500</v>
      </c>
      <c r="D59" s="118">
        <v>0</v>
      </c>
      <c r="E59" s="118">
        <f t="shared" si="3"/>
        <v>0</v>
      </c>
      <c r="F59" s="118"/>
      <c r="G59" s="118"/>
      <c r="H59" s="118">
        <f t="shared" si="4"/>
        <v>12500</v>
      </c>
      <c r="I59" s="118">
        <f t="shared" si="5"/>
        <v>0</v>
      </c>
      <c r="J59" s="119">
        <f t="shared" si="6"/>
        <v>0</v>
      </c>
      <c r="K59" s="118">
        <f t="shared" si="7"/>
        <v>117.81</v>
      </c>
      <c r="L59" s="118">
        <f t="shared" si="0"/>
        <v>0</v>
      </c>
      <c r="M59" s="118">
        <f t="shared" si="8"/>
        <v>45.15</v>
      </c>
      <c r="N59" s="118">
        <f t="shared" si="9"/>
        <v>0</v>
      </c>
      <c r="O59" s="118">
        <f t="shared" si="10"/>
        <v>1245.4850000000001</v>
      </c>
      <c r="P59" s="118">
        <f t="shared" si="11"/>
        <v>1408.4450000000002</v>
      </c>
      <c r="Q59" s="118">
        <f t="shared" si="12"/>
        <v>11091.555</v>
      </c>
      <c r="R59" s="120">
        <f t="shared" si="13"/>
        <v>12454.85</v>
      </c>
      <c r="S59" s="120">
        <f t="shared" si="14"/>
        <v>0</v>
      </c>
      <c r="T59" s="120">
        <f>+'C&amp;A'!D59*0.02</f>
        <v>21.911999999999999</v>
      </c>
      <c r="U59" s="120">
        <f t="shared" si="15"/>
        <v>12476.762000000001</v>
      </c>
      <c r="V59" s="120">
        <f t="shared" si="16"/>
        <v>1996.2819200000001</v>
      </c>
      <c r="W59" s="120">
        <f t="shared" si="17"/>
        <v>14473.04392</v>
      </c>
      <c r="X59" s="121" t="s">
        <v>236</v>
      </c>
      <c r="Y59" s="121" t="s">
        <v>132</v>
      </c>
      <c r="Z59" s="122" t="s">
        <v>104</v>
      </c>
      <c r="AA59" s="121" t="s">
        <v>260</v>
      </c>
      <c r="AB59" s="121" t="s">
        <v>194</v>
      </c>
      <c r="AC59" s="121"/>
      <c r="AD59" s="123">
        <v>1237.2399999999998</v>
      </c>
      <c r="AE59" s="121">
        <v>11262.76</v>
      </c>
      <c r="AF59" s="123">
        <v>12500</v>
      </c>
      <c r="AG59" s="123"/>
      <c r="AH59" s="123">
        <f t="shared" si="20"/>
        <v>0</v>
      </c>
      <c r="AI59" s="123"/>
      <c r="AJ59" s="123"/>
      <c r="AK59" s="124">
        <v>45.15</v>
      </c>
      <c r="AL59" s="125">
        <f t="shared" si="18"/>
        <v>12454.85</v>
      </c>
      <c r="AM59" s="123"/>
      <c r="AN59" s="126">
        <v>117.81</v>
      </c>
      <c r="AO59" s="126"/>
      <c r="AP59" s="126"/>
      <c r="AQ59" s="48"/>
      <c r="AR59" s="48">
        <v>0</v>
      </c>
      <c r="AS59" s="125">
        <v>12337.04</v>
      </c>
      <c r="AT59" s="126">
        <v>1245.4850000000001</v>
      </c>
      <c r="AU59" s="125">
        <f t="shared" si="19"/>
        <v>11091.555</v>
      </c>
      <c r="AV59" s="126">
        <v>0</v>
      </c>
      <c r="AW59" s="126">
        <v>24.744799999999998</v>
      </c>
      <c r="AX59" s="125">
        <v>12479.594800000001</v>
      </c>
      <c r="AY59" s="79">
        <v>1237.2</v>
      </c>
      <c r="AZ59" s="79">
        <v>9894.99</v>
      </c>
      <c r="BA59" s="119">
        <v>40.635000000000218</v>
      </c>
      <c r="BC59" s="127" t="s">
        <v>312</v>
      </c>
    </row>
    <row r="60" spans="1:64" s="80" customFormat="1" hidden="1" x14ac:dyDescent="0.25">
      <c r="A60" s="117" t="s">
        <v>106</v>
      </c>
      <c r="B60" s="80" t="s">
        <v>107</v>
      </c>
      <c r="C60" s="118">
        <f t="shared" si="2"/>
        <v>3500</v>
      </c>
      <c r="D60" s="118">
        <v>0</v>
      </c>
      <c r="E60" s="118">
        <f t="shared" si="3"/>
        <v>8981.98</v>
      </c>
      <c r="F60" s="118"/>
      <c r="G60" s="118"/>
      <c r="H60" s="118">
        <f t="shared" si="4"/>
        <v>12481.98</v>
      </c>
      <c r="I60" s="118">
        <f t="shared" si="5"/>
        <v>0</v>
      </c>
      <c r="J60" s="119">
        <f t="shared" si="6"/>
        <v>0</v>
      </c>
      <c r="K60" s="118">
        <f t="shared" si="7"/>
        <v>0</v>
      </c>
      <c r="L60" s="118">
        <f t="shared" si="0"/>
        <v>0</v>
      </c>
      <c r="M60" s="118">
        <f t="shared" si="8"/>
        <v>45.15</v>
      </c>
      <c r="N60" s="118">
        <f t="shared" si="9"/>
        <v>741.3</v>
      </c>
      <c r="O60" s="118">
        <f t="shared" si="10"/>
        <v>1256.1950000000002</v>
      </c>
      <c r="P60" s="118">
        <f t="shared" si="11"/>
        <v>2042.645</v>
      </c>
      <c r="Q60" s="118">
        <f t="shared" si="12"/>
        <v>10439.334999999999</v>
      </c>
      <c r="R60" s="120">
        <f t="shared" si="13"/>
        <v>12436.83</v>
      </c>
      <c r="S60" s="120">
        <f t="shared" si="14"/>
        <v>0</v>
      </c>
      <c r="T60" s="120">
        <f>+'C&amp;A'!D60*0.02</f>
        <v>21.911999999999999</v>
      </c>
      <c r="U60" s="120">
        <f t="shared" si="15"/>
        <v>12458.742</v>
      </c>
      <c r="V60" s="120">
        <f t="shared" si="16"/>
        <v>1993.3987200000001</v>
      </c>
      <c r="W60" s="120">
        <f t="shared" si="17"/>
        <v>14452.140719999999</v>
      </c>
      <c r="X60" s="121" t="s">
        <v>225</v>
      </c>
      <c r="Y60" s="121" t="s">
        <v>261</v>
      </c>
      <c r="Z60" s="122">
        <v>18</v>
      </c>
      <c r="AA60" s="121" t="s">
        <v>214</v>
      </c>
      <c r="AB60" s="121"/>
      <c r="AC60" s="121"/>
      <c r="AD60" s="123">
        <v>1237.2399999999998</v>
      </c>
      <c r="AE60" s="121">
        <v>2262.7600000000002</v>
      </c>
      <c r="AF60" s="123">
        <v>3500</v>
      </c>
      <c r="AG60" s="123">
        <v>8981.98</v>
      </c>
      <c r="AH60" s="123">
        <f t="shared" si="20"/>
        <v>0</v>
      </c>
      <c r="AI60" s="123"/>
      <c r="AJ60" s="123"/>
      <c r="AK60" s="124">
        <v>45.15</v>
      </c>
      <c r="AL60" s="125">
        <f t="shared" si="18"/>
        <v>12436.83</v>
      </c>
      <c r="AM60" s="123"/>
      <c r="AN60" s="126"/>
      <c r="AO60" s="126"/>
      <c r="AP60" s="126"/>
      <c r="AQ60" s="48"/>
      <c r="AR60" s="48">
        <v>741.3</v>
      </c>
      <c r="AS60" s="125">
        <v>11820.650000000001</v>
      </c>
      <c r="AT60" s="126">
        <v>1256.1950000000002</v>
      </c>
      <c r="AU60" s="125">
        <f t="shared" si="19"/>
        <v>10439.335000000001</v>
      </c>
      <c r="AV60" s="126">
        <v>0</v>
      </c>
      <c r="AW60" s="126">
        <v>24.744799999999998</v>
      </c>
      <c r="AX60" s="125">
        <v>12586.694800000001</v>
      </c>
      <c r="AY60" s="79">
        <v>1237.2</v>
      </c>
      <c r="AZ60" s="79">
        <v>1646.62</v>
      </c>
      <c r="BA60" s="119">
        <v>-7680.635000000002</v>
      </c>
      <c r="BC60" s="127" t="s">
        <v>314</v>
      </c>
    </row>
    <row r="61" spans="1:64" s="80" customFormat="1" hidden="1" x14ac:dyDescent="0.25">
      <c r="A61" s="117" t="s">
        <v>108</v>
      </c>
      <c r="B61" s="80" t="s">
        <v>109</v>
      </c>
      <c r="C61" s="118">
        <f t="shared" si="2"/>
        <v>2750</v>
      </c>
      <c r="D61" s="118">
        <v>0</v>
      </c>
      <c r="E61" s="118">
        <f t="shared" si="3"/>
        <v>7127.04</v>
      </c>
      <c r="F61" s="118"/>
      <c r="G61" s="118"/>
      <c r="H61" s="118">
        <f t="shared" si="4"/>
        <v>9877.0400000000009</v>
      </c>
      <c r="I61" s="118">
        <f t="shared" si="5"/>
        <v>0</v>
      </c>
      <c r="J61" s="119">
        <f t="shared" si="6"/>
        <v>0</v>
      </c>
      <c r="K61" s="118">
        <f t="shared" si="7"/>
        <v>0</v>
      </c>
      <c r="L61" s="118">
        <f t="shared" si="0"/>
        <v>0</v>
      </c>
      <c r="M61" s="118">
        <f t="shared" si="8"/>
        <v>45.15</v>
      </c>
      <c r="N61" s="118">
        <f t="shared" si="9"/>
        <v>0</v>
      </c>
      <c r="O61" s="118">
        <f t="shared" si="10"/>
        <v>997.72600000000023</v>
      </c>
      <c r="P61" s="118">
        <f t="shared" si="11"/>
        <v>1042.8760000000002</v>
      </c>
      <c r="Q61" s="118">
        <f t="shared" si="12"/>
        <v>8834.1640000000007</v>
      </c>
      <c r="R61" s="120">
        <f t="shared" si="13"/>
        <v>9831.8900000000012</v>
      </c>
      <c r="S61" s="120">
        <f t="shared" si="14"/>
        <v>0</v>
      </c>
      <c r="T61" s="120">
        <f>+'C&amp;A'!D61*0.02</f>
        <v>21.911999999999999</v>
      </c>
      <c r="U61" s="120">
        <f t="shared" si="15"/>
        <v>9853.8020000000015</v>
      </c>
      <c r="V61" s="120">
        <f t="shared" si="16"/>
        <v>1576.6083200000003</v>
      </c>
      <c r="W61" s="120">
        <f t="shared" si="17"/>
        <v>11430.410320000003</v>
      </c>
      <c r="X61" s="121" t="s">
        <v>233</v>
      </c>
      <c r="Y61" s="121" t="s">
        <v>140</v>
      </c>
      <c r="Z61" s="121" t="s">
        <v>108</v>
      </c>
      <c r="AA61" s="121" t="s">
        <v>262</v>
      </c>
      <c r="AB61" s="121"/>
      <c r="AC61" s="121"/>
      <c r="AD61" s="123">
        <v>1237.2399999999998</v>
      </c>
      <c r="AE61" s="121">
        <v>1512.7600000000002</v>
      </c>
      <c r="AF61" s="123">
        <v>2750</v>
      </c>
      <c r="AG61" s="123">
        <v>7127.04</v>
      </c>
      <c r="AH61" s="123">
        <f t="shared" si="20"/>
        <v>0</v>
      </c>
      <c r="AI61" s="123"/>
      <c r="AJ61" s="123"/>
      <c r="AK61" s="124">
        <v>45.15</v>
      </c>
      <c r="AL61" s="125">
        <f t="shared" si="18"/>
        <v>9831.8900000000012</v>
      </c>
      <c r="AM61" s="123"/>
      <c r="AN61" s="126"/>
      <c r="AO61" s="126"/>
      <c r="AP61" s="126"/>
      <c r="AQ61" s="48"/>
      <c r="AR61" s="48">
        <v>0</v>
      </c>
      <c r="AS61" s="125">
        <v>9977.260000000002</v>
      </c>
      <c r="AT61" s="126">
        <v>997.72600000000023</v>
      </c>
      <c r="AU61" s="125">
        <f t="shared" si="19"/>
        <v>8834.1640000000007</v>
      </c>
      <c r="AV61" s="126">
        <v>0</v>
      </c>
      <c r="AW61" s="126">
        <v>24.744799999999998</v>
      </c>
      <c r="AX61" s="125">
        <v>10002.004800000002</v>
      </c>
      <c r="AY61" s="79">
        <v>1237.2</v>
      </c>
      <c r="AZ61" s="79">
        <v>1560.24</v>
      </c>
      <c r="BA61" s="130">
        <v>-6182.094000000001</v>
      </c>
      <c r="BC61" s="127" t="s">
        <v>311</v>
      </c>
    </row>
    <row r="62" spans="1:64" s="80" customFormat="1" hidden="1" x14ac:dyDescent="0.25">
      <c r="A62" s="117" t="s">
        <v>110</v>
      </c>
      <c r="B62" s="80" t="s">
        <v>111</v>
      </c>
      <c r="C62" s="118">
        <f t="shared" si="2"/>
        <v>1200</v>
      </c>
      <c r="D62" s="118">
        <v>0</v>
      </c>
      <c r="E62" s="118">
        <f t="shared" si="3"/>
        <v>5200</v>
      </c>
      <c r="F62" s="118"/>
      <c r="G62" s="118"/>
      <c r="H62" s="118">
        <f t="shared" si="4"/>
        <v>6400</v>
      </c>
      <c r="I62" s="118">
        <f t="shared" si="5"/>
        <v>0</v>
      </c>
      <c r="J62" s="119">
        <f t="shared" si="6"/>
        <v>0</v>
      </c>
      <c r="K62" s="118">
        <f t="shared" si="7"/>
        <v>0</v>
      </c>
      <c r="L62" s="118">
        <f t="shared" si="0"/>
        <v>0</v>
      </c>
      <c r="M62" s="118">
        <f t="shared" si="8"/>
        <v>45.15</v>
      </c>
      <c r="N62" s="118">
        <f t="shared" si="9"/>
        <v>0</v>
      </c>
      <c r="O62" s="118">
        <f t="shared" si="10"/>
        <v>635.48500000000013</v>
      </c>
      <c r="P62" s="118">
        <f t="shared" si="11"/>
        <v>680.6350000000001</v>
      </c>
      <c r="Q62" s="118">
        <f t="shared" si="12"/>
        <v>5719.3649999999998</v>
      </c>
      <c r="R62" s="120">
        <f t="shared" si="13"/>
        <v>6354.85</v>
      </c>
      <c r="S62" s="120">
        <f t="shared" si="14"/>
        <v>0</v>
      </c>
      <c r="T62" s="120">
        <f>+'C&amp;A'!D62*0.02</f>
        <v>21.911999999999999</v>
      </c>
      <c r="U62" s="120">
        <f t="shared" si="15"/>
        <v>6376.7620000000006</v>
      </c>
      <c r="V62" s="120">
        <f t="shared" si="16"/>
        <v>1020.2819200000001</v>
      </c>
      <c r="W62" s="120">
        <f t="shared" si="17"/>
        <v>7397.043920000001</v>
      </c>
      <c r="X62" s="121" t="s">
        <v>190</v>
      </c>
      <c r="Y62" s="121" t="s">
        <v>263</v>
      </c>
      <c r="Z62" s="122" t="s">
        <v>110</v>
      </c>
      <c r="AA62" s="121" t="s">
        <v>214</v>
      </c>
      <c r="AB62" s="121"/>
      <c r="AC62" s="121"/>
      <c r="AD62" s="123">
        <v>1237.2399999999998</v>
      </c>
      <c r="AE62" s="121">
        <v>-37.239999999999782</v>
      </c>
      <c r="AF62" s="123">
        <v>1200</v>
      </c>
      <c r="AG62" s="123">
        <v>5200</v>
      </c>
      <c r="AH62" s="123">
        <f t="shared" si="20"/>
        <v>0</v>
      </c>
      <c r="AI62" s="123"/>
      <c r="AJ62" s="123"/>
      <c r="AK62" s="124">
        <v>45.15</v>
      </c>
      <c r="AL62" s="125">
        <f t="shared" si="18"/>
        <v>6354.85</v>
      </c>
      <c r="AM62" s="123"/>
      <c r="AN62" s="126"/>
      <c r="AO62" s="126"/>
      <c r="AP62" s="126"/>
      <c r="AQ62" s="48"/>
      <c r="AR62" s="48">
        <v>0</v>
      </c>
      <c r="AS62" s="125">
        <v>6354.85</v>
      </c>
      <c r="AT62" s="126">
        <v>635.48500000000013</v>
      </c>
      <c r="AU62" s="125">
        <f t="shared" si="19"/>
        <v>5719.3649999999998</v>
      </c>
      <c r="AV62" s="126">
        <v>0</v>
      </c>
      <c r="AW62" s="126">
        <v>24.744799999999998</v>
      </c>
      <c r="AX62" s="125">
        <v>6379.5948000000008</v>
      </c>
      <c r="AY62" s="79">
        <v>1237.2</v>
      </c>
      <c r="AZ62" s="79">
        <v>3303.71</v>
      </c>
      <c r="BA62" s="119">
        <v>-1178.4549999999999</v>
      </c>
      <c r="BC62" s="127" t="s">
        <v>314</v>
      </c>
    </row>
    <row r="63" spans="1:64" s="80" customFormat="1" hidden="1" x14ac:dyDescent="0.25">
      <c r="A63" s="117" t="s">
        <v>112</v>
      </c>
      <c r="B63" s="80" t="s">
        <v>113</v>
      </c>
      <c r="C63" s="118">
        <f t="shared" si="2"/>
        <v>1200</v>
      </c>
      <c r="D63" s="118">
        <v>145.37389713135775</v>
      </c>
      <c r="E63" s="118">
        <f t="shared" si="3"/>
        <v>1800</v>
      </c>
      <c r="F63" s="118"/>
      <c r="G63" s="118"/>
      <c r="H63" s="118">
        <f t="shared" si="4"/>
        <v>3145.3738971313578</v>
      </c>
      <c r="I63" s="118">
        <f t="shared" si="5"/>
        <v>0</v>
      </c>
      <c r="J63" s="119">
        <f t="shared" si="6"/>
        <v>0</v>
      </c>
      <c r="K63" s="118">
        <f t="shared" si="7"/>
        <v>0</v>
      </c>
      <c r="L63" s="118">
        <f t="shared" si="0"/>
        <v>0</v>
      </c>
      <c r="M63" s="118">
        <f t="shared" si="8"/>
        <v>45.15</v>
      </c>
      <c r="N63" s="118">
        <f t="shared" si="9"/>
        <v>0</v>
      </c>
      <c r="O63" s="118">
        <f t="shared" si="10"/>
        <v>0</v>
      </c>
      <c r="P63" s="118">
        <f t="shared" si="11"/>
        <v>45.15</v>
      </c>
      <c r="Q63" s="118">
        <f t="shared" si="12"/>
        <v>3100.2238971313577</v>
      </c>
      <c r="R63" s="120">
        <f t="shared" si="13"/>
        <v>3100.2238971313577</v>
      </c>
      <c r="S63" s="120">
        <f t="shared" si="14"/>
        <v>315.55799999999999</v>
      </c>
      <c r="T63" s="120">
        <f>+'C&amp;A'!D63*0.02</f>
        <v>21.911999999999999</v>
      </c>
      <c r="U63" s="120">
        <f t="shared" si="15"/>
        <v>3437.6938971313575</v>
      </c>
      <c r="V63" s="120">
        <f t="shared" si="16"/>
        <v>550.03102354101725</v>
      </c>
      <c r="W63" s="120">
        <f t="shared" si="17"/>
        <v>3987.7249206723745</v>
      </c>
      <c r="X63" s="121" t="s">
        <v>190</v>
      </c>
      <c r="Y63" s="121" t="s">
        <v>138</v>
      </c>
      <c r="Z63" s="122" t="s">
        <v>112</v>
      </c>
      <c r="AA63" s="121" t="s">
        <v>264</v>
      </c>
      <c r="AB63" s="121"/>
      <c r="AC63" s="121"/>
      <c r="AD63" s="123">
        <v>1237.2399999999998</v>
      </c>
      <c r="AE63" s="121">
        <v>-37.239999999999782</v>
      </c>
      <c r="AF63" s="123">
        <v>1200</v>
      </c>
      <c r="AG63" s="123">
        <v>1800</v>
      </c>
      <c r="AH63" s="123">
        <f t="shared" si="20"/>
        <v>145.37389713135775</v>
      </c>
      <c r="AI63" s="123"/>
      <c r="AJ63" s="123"/>
      <c r="AK63" s="124">
        <v>45.15</v>
      </c>
      <c r="AL63" s="125">
        <f t="shared" si="18"/>
        <v>3100.2238971313577</v>
      </c>
      <c r="AM63" s="123"/>
      <c r="AN63" s="126"/>
      <c r="AO63" s="126"/>
      <c r="AP63" s="126"/>
      <c r="AQ63" s="48"/>
      <c r="AR63" s="48">
        <v>0</v>
      </c>
      <c r="AS63" s="125">
        <v>3155.58</v>
      </c>
      <c r="AT63" s="126">
        <v>0</v>
      </c>
      <c r="AU63" s="125">
        <f t="shared" si="19"/>
        <v>3100.2238971313577</v>
      </c>
      <c r="AV63" s="126">
        <v>315.55799999999999</v>
      </c>
      <c r="AW63" s="126">
        <v>24.744799999999998</v>
      </c>
      <c r="AX63" s="125">
        <v>3495.8827999999999</v>
      </c>
      <c r="AY63" s="79">
        <v>1237.2</v>
      </c>
      <c r="AZ63" s="79">
        <v>109.73</v>
      </c>
      <c r="BA63" s="130">
        <v>-1808.6499999999999</v>
      </c>
      <c r="BC63" s="127" t="s">
        <v>314</v>
      </c>
    </row>
    <row r="64" spans="1:64" s="80" customFormat="1" hidden="1" x14ac:dyDescent="0.25">
      <c r="A64" s="117" t="s">
        <v>114</v>
      </c>
      <c r="B64" s="80" t="s">
        <v>115</v>
      </c>
      <c r="C64" s="118">
        <f t="shared" si="2"/>
        <v>2250</v>
      </c>
      <c r="D64" s="118">
        <v>0</v>
      </c>
      <c r="E64" s="118">
        <f t="shared" si="3"/>
        <v>10108.09</v>
      </c>
      <c r="F64" s="118"/>
      <c r="G64" s="118"/>
      <c r="H64" s="118">
        <f t="shared" si="4"/>
        <v>12358.09</v>
      </c>
      <c r="I64" s="118">
        <f t="shared" si="5"/>
        <v>0</v>
      </c>
      <c r="J64" s="119">
        <f t="shared" si="6"/>
        <v>0</v>
      </c>
      <c r="K64" s="118">
        <f t="shared" si="7"/>
        <v>0</v>
      </c>
      <c r="L64" s="118">
        <f t="shared" si="0"/>
        <v>0</v>
      </c>
      <c r="M64" s="118">
        <f t="shared" si="8"/>
        <v>45.15</v>
      </c>
      <c r="N64" s="118">
        <f t="shared" si="9"/>
        <v>335.19</v>
      </c>
      <c r="O64" s="118">
        <f t="shared" si="10"/>
        <v>1248.7720000000002</v>
      </c>
      <c r="P64" s="118">
        <f t="shared" si="11"/>
        <v>1629.1120000000001</v>
      </c>
      <c r="Q64" s="118">
        <f t="shared" si="12"/>
        <v>10728.977999999999</v>
      </c>
      <c r="R64" s="120">
        <f t="shared" si="13"/>
        <v>12312.94</v>
      </c>
      <c r="S64" s="120">
        <f t="shared" si="14"/>
        <v>0</v>
      </c>
      <c r="T64" s="120">
        <f>+'C&amp;A'!D64*0.02</f>
        <v>21.911999999999999</v>
      </c>
      <c r="U64" s="120">
        <f t="shared" si="15"/>
        <v>12334.852000000001</v>
      </c>
      <c r="V64" s="120">
        <f t="shared" si="16"/>
        <v>1973.5763200000001</v>
      </c>
      <c r="W64" s="120">
        <f t="shared" si="17"/>
        <v>14308.428320000001</v>
      </c>
      <c r="X64" s="121" t="s">
        <v>241</v>
      </c>
      <c r="Y64" s="121" t="s">
        <v>265</v>
      </c>
      <c r="Z64" s="121" t="s">
        <v>114</v>
      </c>
      <c r="AA64" s="121" t="s">
        <v>229</v>
      </c>
      <c r="AB64" s="121"/>
      <c r="AC64" s="121"/>
      <c r="AD64" s="123">
        <v>1237.2399999999998</v>
      </c>
      <c r="AE64" s="121">
        <v>1012.76</v>
      </c>
      <c r="AF64" s="123">
        <v>2250</v>
      </c>
      <c r="AG64" s="123">
        <v>10108.09</v>
      </c>
      <c r="AH64" s="123">
        <f t="shared" si="20"/>
        <v>0</v>
      </c>
      <c r="AI64" s="123"/>
      <c r="AJ64" s="123"/>
      <c r="AK64" s="124">
        <v>45.15</v>
      </c>
      <c r="AL64" s="125">
        <f t="shared" si="18"/>
        <v>12312.94</v>
      </c>
      <c r="AM64" s="123"/>
      <c r="AN64" s="126"/>
      <c r="AO64" s="126"/>
      <c r="AP64" s="126"/>
      <c r="AQ64" s="48"/>
      <c r="AR64" s="48">
        <v>335.19</v>
      </c>
      <c r="AS64" s="125">
        <v>12152.53</v>
      </c>
      <c r="AT64" s="126">
        <v>1248.7720000000002</v>
      </c>
      <c r="AU64" s="125">
        <f t="shared" si="19"/>
        <v>10728.977999999999</v>
      </c>
      <c r="AV64" s="126">
        <v>0</v>
      </c>
      <c r="AW64" s="126">
        <v>24.744799999999998</v>
      </c>
      <c r="AX64" s="125">
        <v>12512.464800000002</v>
      </c>
      <c r="AY64" s="79">
        <v>1237.2</v>
      </c>
      <c r="AZ64" s="79">
        <v>852.39</v>
      </c>
      <c r="BA64" s="119">
        <v>-8814.1679999999997</v>
      </c>
      <c r="BC64" s="127" t="s">
        <v>317</v>
      </c>
      <c r="BH64" s="136"/>
      <c r="BI64" s="136"/>
      <c r="BJ64" s="136"/>
      <c r="BK64" s="136"/>
      <c r="BL64" s="136"/>
    </row>
    <row r="65" spans="1:64" s="136" customFormat="1" hidden="1" x14ac:dyDescent="0.25">
      <c r="A65" s="117" t="s">
        <v>116</v>
      </c>
      <c r="B65" s="80" t="s">
        <v>117</v>
      </c>
      <c r="C65" s="118">
        <f t="shared" si="2"/>
        <v>1200</v>
      </c>
      <c r="D65" s="118"/>
      <c r="E65" s="118">
        <f t="shared" si="3"/>
        <v>1266.2</v>
      </c>
      <c r="F65" s="118"/>
      <c r="G65" s="118"/>
      <c r="H65" s="118">
        <f t="shared" si="4"/>
        <v>2466.1999999999998</v>
      </c>
      <c r="I65" s="118">
        <f t="shared" si="5"/>
        <v>0</v>
      </c>
      <c r="J65" s="119">
        <f t="shared" si="6"/>
        <v>0</v>
      </c>
      <c r="K65" s="118">
        <f t="shared" si="7"/>
        <v>0</v>
      </c>
      <c r="L65" s="118">
        <f t="shared" si="0"/>
        <v>0</v>
      </c>
      <c r="M65" s="118">
        <f t="shared" si="8"/>
        <v>45.15</v>
      </c>
      <c r="N65" s="118">
        <f t="shared" si="9"/>
        <v>303.79000000000002</v>
      </c>
      <c r="O65" s="118">
        <f t="shared" si="10"/>
        <v>0</v>
      </c>
      <c r="P65" s="118">
        <f t="shared" si="11"/>
        <v>348.94</v>
      </c>
      <c r="Q65" s="118">
        <f t="shared" si="12"/>
        <v>2117.2599999999998</v>
      </c>
      <c r="R65" s="120">
        <f t="shared" si="13"/>
        <v>2421.0499999999997</v>
      </c>
      <c r="S65" s="120">
        <f t="shared" si="14"/>
        <v>259.58300000000003</v>
      </c>
      <c r="T65" s="120">
        <f>+'C&amp;A'!D65*0.02</f>
        <v>21.911999999999999</v>
      </c>
      <c r="U65" s="120">
        <f t="shared" si="15"/>
        <v>2702.5449999999996</v>
      </c>
      <c r="V65" s="120">
        <f t="shared" si="16"/>
        <v>432.40719999999993</v>
      </c>
      <c r="W65" s="120">
        <f t="shared" si="17"/>
        <v>3134.9521999999997</v>
      </c>
      <c r="X65" s="121" t="s">
        <v>192</v>
      </c>
      <c r="Y65" s="121" t="s">
        <v>266</v>
      </c>
      <c r="Z65" s="122" t="s">
        <v>116</v>
      </c>
      <c r="AA65" s="121" t="s">
        <v>122</v>
      </c>
      <c r="AB65" s="121"/>
      <c r="AC65" s="121"/>
      <c r="AD65" s="123">
        <v>1237.2399999999998</v>
      </c>
      <c r="AE65" s="121">
        <v>-37.239999999999782</v>
      </c>
      <c r="AF65" s="123">
        <v>1200</v>
      </c>
      <c r="AG65" s="123">
        <v>1266.2</v>
      </c>
      <c r="AH65" s="123">
        <f t="shared" si="20"/>
        <v>0</v>
      </c>
      <c r="AI65" s="123"/>
      <c r="AJ65" s="123"/>
      <c r="AK65" s="124">
        <v>45.15</v>
      </c>
      <c r="AL65" s="125">
        <f t="shared" si="18"/>
        <v>2421.0499999999997</v>
      </c>
      <c r="AM65" s="123"/>
      <c r="AN65" s="126"/>
      <c r="AO65" s="126"/>
      <c r="AP65" s="126"/>
      <c r="AQ65" s="48"/>
      <c r="AR65" s="48">
        <v>303.79000000000002</v>
      </c>
      <c r="AS65" s="125">
        <v>2292.04</v>
      </c>
      <c r="AT65" s="126">
        <v>0</v>
      </c>
      <c r="AU65" s="125">
        <f t="shared" si="19"/>
        <v>2117.2599999999998</v>
      </c>
      <c r="AV65" s="126">
        <v>259.58300000000003</v>
      </c>
      <c r="AW65" s="126">
        <v>24.744799999999998</v>
      </c>
      <c r="AX65" s="125">
        <v>2880.1578</v>
      </c>
      <c r="AY65" s="79">
        <v>1237.2</v>
      </c>
      <c r="AZ65" s="79">
        <v>859.49</v>
      </c>
      <c r="BA65" s="119">
        <v>-195.34999999999991</v>
      </c>
      <c r="BB65" s="80"/>
      <c r="BC65" s="127" t="s">
        <v>314</v>
      </c>
      <c r="BD65" s="80"/>
      <c r="BE65" s="80"/>
      <c r="BF65" s="80"/>
      <c r="BG65" s="80"/>
    </row>
    <row r="66" spans="1:64" s="136" customFormat="1" ht="15.75" hidden="1" thickBot="1" x14ac:dyDescent="0.3">
      <c r="A66" s="81" t="s">
        <v>119</v>
      </c>
      <c r="B66" s="80" t="s">
        <v>120</v>
      </c>
      <c r="C66" s="82">
        <f>SUM(C10:C65)</f>
        <v>165200</v>
      </c>
      <c r="D66" s="82">
        <f t="shared" ref="D66:G66" si="21">SUM(D10:D65)</f>
        <v>1891.5109339857158</v>
      </c>
      <c r="E66" s="82">
        <f t="shared" si="21"/>
        <v>432293.62000000005</v>
      </c>
      <c r="F66" s="82">
        <f t="shared" si="21"/>
        <v>0</v>
      </c>
      <c r="G66" s="82">
        <f t="shared" si="21"/>
        <v>0</v>
      </c>
      <c r="H66" s="82">
        <f>SUM(H10:H65)</f>
        <v>599385.1309339857</v>
      </c>
      <c r="I66" s="82">
        <f t="shared" ref="I66:M66" si="22">SUM(I10:I65)</f>
        <v>366.66</v>
      </c>
      <c r="J66" s="82">
        <f t="shared" si="22"/>
        <v>479.28</v>
      </c>
      <c r="K66" s="82">
        <f t="shared" si="22"/>
        <v>117.81</v>
      </c>
      <c r="L66" s="82">
        <f t="shared" si="22"/>
        <v>0</v>
      </c>
      <c r="M66" s="82">
        <f t="shared" si="22"/>
        <v>2528.4000000000024</v>
      </c>
      <c r="N66" s="82">
        <f>SUM(N10:N65)</f>
        <v>9726.09</v>
      </c>
      <c r="O66" s="82">
        <f>SUM(O10:O65)</f>
        <v>52628.071000000004</v>
      </c>
      <c r="P66" s="82">
        <f t="shared" ref="P66:R66" si="23">SUM(P10:P65)</f>
        <v>65846.311000000016</v>
      </c>
      <c r="Q66" s="82">
        <f t="shared" si="23"/>
        <v>533538.81993398571</v>
      </c>
      <c r="R66" s="83">
        <f t="shared" si="23"/>
        <v>596856.73093398556</v>
      </c>
      <c r="S66" s="83">
        <f t="shared" ref="S66:W66" si="24">SUM(S10:S65)</f>
        <v>7645.0020000000004</v>
      </c>
      <c r="T66" s="83">
        <f t="shared" si="24"/>
        <v>1202.2384000000009</v>
      </c>
      <c r="U66" s="83">
        <f t="shared" si="24"/>
        <v>605703.97133398557</v>
      </c>
      <c r="V66" s="83">
        <f t="shared" si="24"/>
        <v>96912.635413437689</v>
      </c>
      <c r="W66" s="83">
        <f t="shared" si="24"/>
        <v>702616.60674742307</v>
      </c>
      <c r="X66" s="134"/>
      <c r="Y66" s="121"/>
      <c r="Z66" s="121"/>
      <c r="AA66" s="121"/>
      <c r="AB66" s="121"/>
      <c r="AC66" s="121"/>
      <c r="AD66" s="121"/>
      <c r="AE66" s="121"/>
      <c r="AF66" s="123"/>
      <c r="AG66" s="123"/>
      <c r="AH66" s="123"/>
      <c r="AI66" s="123"/>
      <c r="AJ66" s="123"/>
      <c r="AK66" s="124"/>
      <c r="AL66" s="125">
        <f t="shared" ref="AL66" si="25">SUM(AF66:AJ66)-AK66</f>
        <v>0</v>
      </c>
      <c r="AM66" s="123"/>
      <c r="AN66" s="126"/>
      <c r="AO66" s="126"/>
      <c r="AP66" s="126"/>
      <c r="AQ66" s="126"/>
      <c r="AR66" s="126"/>
      <c r="AS66" s="125">
        <f t="shared" ref="AS66" si="26">+AL66-SUM(AM66:AR66)</f>
        <v>0</v>
      </c>
      <c r="AT66" s="126">
        <f t="shared" ref="AT66" si="27">IF(AL66&gt;4500,AL66*0.1,0)</f>
        <v>0</v>
      </c>
      <c r="AU66" s="125">
        <f t="shared" ref="AU66" si="28">+AS66-AT66</f>
        <v>0</v>
      </c>
      <c r="AV66" s="126">
        <f t="shared" ref="AV66" si="29">IF(AL66&lt;4500,AL66*0.1,0)</f>
        <v>0</v>
      </c>
      <c r="AW66" s="126"/>
      <c r="AX66" s="125">
        <f t="shared" ref="AX66" si="30">+AL66+AV66+AW66</f>
        <v>0</v>
      </c>
      <c r="AY66" s="79"/>
      <c r="AZ66" s="79"/>
      <c r="BA66" s="119"/>
      <c r="BB66" s="80"/>
      <c r="BC66" s="127"/>
      <c r="BD66" s="80"/>
      <c r="BE66" s="80"/>
      <c r="BF66" s="80"/>
      <c r="BG66" s="80"/>
    </row>
    <row r="67" spans="1:64" s="136" customFormat="1" hidden="1" x14ac:dyDescent="0.25">
      <c r="A67" s="137"/>
      <c r="M67" s="138"/>
      <c r="R67" s="138">
        <f>+'C&amp;A'!H69+SINDICATO!M69</f>
        <v>533538.81993398559</v>
      </c>
      <c r="T67" s="139">
        <f>+C66+D66+E66+F66+G66</f>
        <v>599385.13093398581</v>
      </c>
      <c r="U67" s="138">
        <f>+'C&amp;A'!H69+SINDICATO!D69</f>
        <v>599385.13093398546</v>
      </c>
      <c r="V67" s="139">
        <f>+U67+T66+S66-J66-K66-L66</f>
        <v>607635.28133398539</v>
      </c>
      <c r="X67" s="134"/>
      <c r="Y67" s="140"/>
      <c r="Z67" s="140"/>
      <c r="AA67" s="140"/>
      <c r="AB67" s="140"/>
      <c r="AC67" s="140"/>
      <c r="AD67" s="140"/>
      <c r="AE67" s="140"/>
      <c r="AF67" s="141"/>
      <c r="AG67" s="141"/>
      <c r="AH67" s="141"/>
      <c r="AI67" s="141"/>
      <c r="AJ67" s="141"/>
      <c r="AK67" s="141"/>
      <c r="AL67" s="125"/>
      <c r="AM67" s="141"/>
      <c r="AN67" s="126"/>
      <c r="AO67" s="126"/>
      <c r="AP67" s="126"/>
      <c r="AQ67" s="126"/>
      <c r="AR67" s="126"/>
      <c r="AS67" s="142"/>
      <c r="AT67" s="126"/>
      <c r="AU67" s="125"/>
      <c r="AV67" s="126"/>
      <c r="AW67" s="126"/>
      <c r="AX67" s="125"/>
      <c r="AY67" s="79"/>
      <c r="AZ67" s="79"/>
      <c r="BA67" s="80"/>
      <c r="BB67" s="80"/>
      <c r="BC67" s="127"/>
      <c r="BD67" s="80"/>
      <c r="BE67" s="80"/>
      <c r="BF67" s="80"/>
      <c r="BG67" s="80"/>
    </row>
    <row r="68" spans="1:64" s="136" customFormat="1" ht="15.75" hidden="1" thickBot="1" x14ac:dyDescent="0.3">
      <c r="A68" s="137"/>
      <c r="C68" s="136" t="s">
        <v>120</v>
      </c>
      <c r="M68" s="138"/>
      <c r="R68" s="139">
        <f>+R66-R67</f>
        <v>63317.910999999964</v>
      </c>
      <c r="S68" s="136" t="s">
        <v>120</v>
      </c>
      <c r="T68" s="139">
        <f>+T67-U67</f>
        <v>0</v>
      </c>
      <c r="U68" s="139">
        <f>+U66-U67</f>
        <v>6318.8404000001028</v>
      </c>
      <c r="V68" s="139">
        <f>+T66+S66</f>
        <v>8847.2404000000006</v>
      </c>
      <c r="W68" s="136" t="s">
        <v>120</v>
      </c>
      <c r="X68" s="80"/>
      <c r="Y68" s="143" t="s">
        <v>267</v>
      </c>
      <c r="Z68" s="143"/>
      <c r="AA68" s="143"/>
      <c r="AB68" s="143"/>
      <c r="AC68" s="143"/>
      <c r="AD68" s="143"/>
      <c r="AE68" s="143"/>
      <c r="AF68" s="144">
        <f>SUM(AF10:AF65)</f>
        <v>165200</v>
      </c>
      <c r="AG68" s="144">
        <f>SUM(AG10:AG65)</f>
        <v>432293.62000000005</v>
      </c>
      <c r="AH68" s="144">
        <f>SUM(AH10:AH65)</f>
        <v>1891.5109339857158</v>
      </c>
      <c r="AI68" s="144">
        <f>SUM(AI10:AI64)</f>
        <v>0</v>
      </c>
      <c r="AJ68" s="144">
        <f>SUM(AJ10:AJ64)</f>
        <v>0</v>
      </c>
      <c r="AK68" s="144">
        <f>SUM(AK10:AK65)</f>
        <v>2528.4000000000024</v>
      </c>
      <c r="AL68" s="144">
        <f t="shared" ref="AL68:AQ68" si="31">SUM(AL10:AL64)</f>
        <v>594435.68093398551</v>
      </c>
      <c r="AM68" s="144">
        <f t="shared" si="31"/>
        <v>366.66</v>
      </c>
      <c r="AN68" s="144">
        <f t="shared" si="31"/>
        <v>117.81</v>
      </c>
      <c r="AO68" s="144">
        <f t="shared" si="31"/>
        <v>0</v>
      </c>
      <c r="AP68" s="144">
        <f t="shared" si="31"/>
        <v>0</v>
      </c>
      <c r="AQ68" s="144">
        <f t="shared" si="31"/>
        <v>479.28</v>
      </c>
      <c r="AR68" s="144">
        <f>SUM(AR10:AR65)</f>
        <v>9726.09</v>
      </c>
      <c r="AS68" s="144">
        <f t="shared" ref="AS68:AX68" si="32">SUM(AS10:AS64)</f>
        <v>589748.85</v>
      </c>
      <c r="AT68" s="144">
        <f t="shared" si="32"/>
        <v>52628.071000000004</v>
      </c>
      <c r="AU68" s="144">
        <f t="shared" si="32"/>
        <v>531421.5599339857</v>
      </c>
      <c r="AV68" s="144">
        <f t="shared" si="32"/>
        <v>7385.4190000000008</v>
      </c>
      <c r="AW68" s="144">
        <f t="shared" si="32"/>
        <v>1330.7295999999983</v>
      </c>
      <c r="AX68" s="144">
        <f t="shared" si="32"/>
        <v>608851.0486000001</v>
      </c>
      <c r="AY68" s="79"/>
      <c r="AZ68" s="79"/>
      <c r="BA68" s="80"/>
      <c r="BB68" s="80"/>
      <c r="BC68" s="127"/>
      <c r="BD68" s="80"/>
      <c r="BE68" s="80"/>
      <c r="BF68" s="80"/>
      <c r="BG68" s="80"/>
    </row>
    <row r="69" spans="1:64" s="136" customFormat="1" hidden="1" x14ac:dyDescent="0.25">
      <c r="A69" s="137" t="s">
        <v>120</v>
      </c>
      <c r="B69" s="136" t="s">
        <v>277</v>
      </c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6"/>
      <c r="N69" s="145"/>
      <c r="O69" s="145"/>
      <c r="P69" s="145"/>
      <c r="Q69" s="145"/>
      <c r="R69" s="145"/>
      <c r="S69" s="145"/>
      <c r="T69" s="145"/>
      <c r="U69" s="145"/>
      <c r="V69" s="147">
        <f>+U68-V68</f>
        <v>-2528.3999999998978</v>
      </c>
      <c r="W69" s="147">
        <f>+J66+K66+L66</f>
        <v>597.08999999999992</v>
      </c>
      <c r="X69" s="80"/>
      <c r="Y69" s="80"/>
      <c r="Z69" s="80"/>
      <c r="AA69" s="80"/>
      <c r="AB69" s="80"/>
      <c r="AC69" s="80"/>
      <c r="AD69" s="80"/>
      <c r="AE69" s="80"/>
      <c r="AF69" s="127"/>
      <c r="AG69" s="127"/>
      <c r="AH69" s="127"/>
      <c r="AI69" s="127"/>
      <c r="AJ69" s="127"/>
      <c r="AK69" s="127"/>
      <c r="AL69" s="108"/>
      <c r="AM69" s="127"/>
      <c r="AN69" s="127"/>
      <c r="AO69" s="127"/>
      <c r="AP69" s="127"/>
      <c r="AQ69" s="127"/>
      <c r="AR69" s="127"/>
      <c r="AS69" s="108"/>
      <c r="AT69" s="127"/>
      <c r="AU69" s="108"/>
      <c r="AV69" s="127"/>
      <c r="AW69" s="127"/>
      <c r="AX69" s="108"/>
      <c r="AY69" s="79"/>
      <c r="AZ69" s="79"/>
      <c r="BA69" s="80"/>
      <c r="BB69" s="80"/>
      <c r="BC69" s="127"/>
      <c r="BD69" s="80"/>
      <c r="BE69" s="80"/>
      <c r="BF69" s="80"/>
      <c r="BG69" s="80"/>
      <c r="BH69" s="80"/>
      <c r="BI69" s="80"/>
      <c r="BJ69" s="80"/>
      <c r="BK69" s="80"/>
      <c r="BL69" s="80"/>
    </row>
    <row r="70" spans="1:64" s="80" customFormat="1" hidden="1" x14ac:dyDescent="0.25">
      <c r="A70" s="137" t="s">
        <v>30</v>
      </c>
      <c r="B70" s="136" t="s">
        <v>31</v>
      </c>
      <c r="C70" s="148">
        <v>2250</v>
      </c>
      <c r="D70" s="148">
        <v>174.78</v>
      </c>
      <c r="E70" s="148">
        <v>0</v>
      </c>
      <c r="F70" s="148"/>
      <c r="G70" s="148"/>
      <c r="H70" s="148"/>
      <c r="I70" s="148"/>
      <c r="J70" s="148"/>
      <c r="K70" s="148"/>
      <c r="L70" s="148"/>
      <c r="M70" s="138">
        <v>0</v>
      </c>
      <c r="N70" s="148">
        <v>0</v>
      </c>
      <c r="O70" s="148"/>
      <c r="P70" s="148"/>
      <c r="Q70" s="148"/>
      <c r="R70" s="148">
        <f>SUM(C70:M70)</f>
        <v>2424.7800000000002</v>
      </c>
      <c r="S70" s="148">
        <v>138.27799999999999</v>
      </c>
      <c r="T70" s="148" t="e">
        <f>+'C&amp;A'!#REF!*0.02</f>
        <v>#REF!</v>
      </c>
      <c r="U70" s="148" t="e">
        <f>SUM(R70:T70)</f>
        <v>#REF!</v>
      </c>
      <c r="V70" s="148" t="e">
        <f>+U70*0.16</f>
        <v>#REF!</v>
      </c>
      <c r="W70" s="148" t="e">
        <f>+U70+V70</f>
        <v>#REF!</v>
      </c>
      <c r="X70" s="224" t="s">
        <v>303</v>
      </c>
      <c r="Y70" s="224"/>
      <c r="AF70" s="127"/>
      <c r="AG70" s="127"/>
      <c r="AH70" s="127"/>
      <c r="AI70" s="127"/>
      <c r="AJ70" s="127"/>
      <c r="AK70" s="127"/>
      <c r="AL70" s="108"/>
      <c r="AM70" s="127"/>
      <c r="AN70" s="127"/>
      <c r="AO70" s="127"/>
      <c r="AP70" s="127"/>
      <c r="AQ70" s="127"/>
      <c r="AR70" s="127"/>
      <c r="AS70" s="108"/>
      <c r="AT70" s="127">
        <f>+AT68-AT69</f>
        <v>52628.071000000004</v>
      </c>
      <c r="AU70" s="108"/>
      <c r="AV70" s="127"/>
      <c r="AW70" s="127"/>
      <c r="AX70" s="108"/>
      <c r="AY70" s="79"/>
      <c r="AZ70" s="79"/>
      <c r="BC70" s="127"/>
    </row>
    <row r="71" spans="1:64" s="80" customFormat="1" hidden="1" x14ac:dyDescent="0.25">
      <c r="A71" s="137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8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4"/>
      <c r="Y71" s="121" t="s">
        <v>304</v>
      </c>
      <c r="Z71" s="121"/>
      <c r="AA71" s="121"/>
      <c r="AB71" s="121"/>
      <c r="AC71" s="121"/>
      <c r="AD71" s="121"/>
      <c r="AE71" s="121"/>
      <c r="AF71" s="123">
        <v>1750</v>
      </c>
      <c r="AG71" s="123">
        <v>12045.8</v>
      </c>
      <c r="AH71" s="123"/>
      <c r="AI71" s="123"/>
      <c r="AJ71" s="123"/>
      <c r="AK71" s="123"/>
      <c r="AL71" s="125">
        <f>SUM(AF71:AK71)</f>
        <v>13795.8</v>
      </c>
      <c r="AM71" s="123"/>
      <c r="AN71" s="126"/>
      <c r="AO71" s="126"/>
      <c r="AP71" s="126"/>
      <c r="AQ71" s="126"/>
      <c r="AR71" s="126"/>
      <c r="AS71" s="125">
        <f>+AL71-AM71</f>
        <v>13795.8</v>
      </c>
      <c r="AT71" s="126">
        <f>+AS71*0.05</f>
        <v>689.79</v>
      </c>
      <c r="AU71" s="125">
        <f>+AS71-AO71-AR71</f>
        <v>13795.8</v>
      </c>
      <c r="AV71" s="126">
        <f>IF(AS71&lt;3000,AS71*0.1,0)</f>
        <v>0</v>
      </c>
      <c r="AW71" s="126">
        <v>0</v>
      </c>
      <c r="AX71" s="125">
        <f>+AS71+AV71+AW71</f>
        <v>13795.8</v>
      </c>
      <c r="AY71" s="79"/>
      <c r="AZ71" s="79"/>
      <c r="BC71" s="127"/>
    </row>
    <row r="72" spans="1:64" s="80" customFormat="1" hidden="1" x14ac:dyDescent="0.25">
      <c r="A72" s="117"/>
      <c r="M72" s="127"/>
      <c r="X72" s="134"/>
      <c r="Y72" s="121"/>
      <c r="Z72" s="121"/>
      <c r="AA72" s="121"/>
      <c r="AB72" s="121"/>
      <c r="AC72" s="121"/>
      <c r="AD72" s="121"/>
      <c r="AE72" s="121"/>
      <c r="AF72" s="123"/>
      <c r="AG72" s="123"/>
      <c r="AH72" s="123"/>
      <c r="AI72" s="123"/>
      <c r="AJ72" s="123"/>
      <c r="AK72" s="123"/>
      <c r="AL72" s="125">
        <f>SUM(AF72:AK72)</f>
        <v>0</v>
      </c>
      <c r="AM72" s="123"/>
      <c r="AN72" s="126"/>
      <c r="AO72" s="126"/>
      <c r="AP72" s="126"/>
      <c r="AQ72" s="126"/>
      <c r="AR72" s="126"/>
      <c r="AS72" s="125">
        <f>+AL72-AM72</f>
        <v>0</v>
      </c>
      <c r="AT72" s="126">
        <f>+AS72*0.05</f>
        <v>0</v>
      </c>
      <c r="AU72" s="125">
        <f>+AS72-AO72-AR72</f>
        <v>0</v>
      </c>
      <c r="AV72" s="126">
        <f>IF(AS72&lt;3000,AS72*0.1,0)</f>
        <v>0</v>
      </c>
      <c r="AW72" s="126">
        <v>0</v>
      </c>
      <c r="AX72" s="125">
        <f>+AS72+AV72+AW72</f>
        <v>0</v>
      </c>
      <c r="AY72" s="79"/>
      <c r="AZ72" s="79"/>
      <c r="BC72" s="127"/>
    </row>
    <row r="73" spans="1:64" s="80" customFormat="1" hidden="1" x14ac:dyDescent="0.25">
      <c r="A73" s="117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27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AF73" s="127"/>
      <c r="AG73" s="127"/>
      <c r="AH73" s="127"/>
      <c r="AI73" s="127"/>
      <c r="AJ73" s="127"/>
      <c r="AK73" s="127"/>
      <c r="AL73" s="108"/>
      <c r="AM73" s="127"/>
      <c r="AN73" s="127"/>
      <c r="AO73" s="127"/>
      <c r="AP73" s="127"/>
      <c r="AQ73" s="127"/>
      <c r="AR73" s="127"/>
      <c r="AS73" s="108"/>
      <c r="AT73" s="127"/>
      <c r="AU73" s="108"/>
      <c r="AV73" s="127"/>
      <c r="AW73" s="127"/>
      <c r="AX73" s="108">
        <f>SUM(AX71:AX72)</f>
        <v>13795.8</v>
      </c>
      <c r="AY73" s="79"/>
      <c r="AZ73" s="79"/>
      <c r="BC73" s="127"/>
    </row>
    <row r="74" spans="1:64" s="80" customFormat="1" hidden="1" x14ac:dyDescent="0.25">
      <c r="A74" s="117"/>
      <c r="M74" s="127"/>
      <c r="R74" s="118"/>
      <c r="Y74" s="149" t="s">
        <v>269</v>
      </c>
      <c r="Z74" s="149"/>
      <c r="AF74" s="127"/>
      <c r="AG74" s="127"/>
      <c r="AH74" s="127"/>
      <c r="AI74" s="127"/>
      <c r="AJ74" s="127"/>
      <c r="AK74" s="127"/>
      <c r="AL74" s="108"/>
      <c r="AM74" s="127"/>
      <c r="AN74" s="127"/>
      <c r="AO74" s="127"/>
      <c r="AP74" s="127"/>
      <c r="AQ74" s="127"/>
      <c r="AR74" s="127"/>
      <c r="AS74" s="108"/>
      <c r="AT74" s="127"/>
      <c r="AU74" s="108"/>
      <c r="AV74" s="127"/>
      <c r="AW74" s="127"/>
      <c r="AX74" s="108">
        <f>+AX73*0.16</f>
        <v>2207.328</v>
      </c>
      <c r="AY74" s="79"/>
      <c r="AZ74" s="79"/>
      <c r="BC74" s="127"/>
    </row>
    <row r="75" spans="1:64" s="80" customFormat="1" hidden="1" x14ac:dyDescent="0.25">
      <c r="A75" s="117"/>
      <c r="M75" s="127"/>
      <c r="R75" s="118"/>
      <c r="Y75" s="149"/>
      <c r="Z75" s="149"/>
      <c r="AF75" s="127"/>
      <c r="AG75" s="127"/>
      <c r="AH75" s="127"/>
      <c r="AI75" s="127"/>
      <c r="AJ75" s="127"/>
      <c r="AK75" s="127"/>
      <c r="AL75" s="108"/>
      <c r="AM75" s="127"/>
      <c r="AN75" s="127"/>
      <c r="AO75" s="127"/>
      <c r="AP75" s="127"/>
      <c r="AQ75" s="127"/>
      <c r="AR75" s="127"/>
      <c r="AS75" s="108"/>
      <c r="AT75" s="127"/>
      <c r="AU75" s="108"/>
      <c r="AV75" s="127"/>
      <c r="AW75" s="127"/>
      <c r="AX75" s="108">
        <f>+AX73+AX74</f>
        <v>16003.127999999999</v>
      </c>
      <c r="AY75" s="79"/>
      <c r="AZ75" s="79"/>
      <c r="BC75" s="127"/>
    </row>
    <row r="76" spans="1:64" s="80" customFormat="1" x14ac:dyDescent="0.25">
      <c r="A76" s="117"/>
      <c r="M76" s="127"/>
      <c r="Y76" s="149"/>
      <c r="Z76" s="149"/>
      <c r="AF76" s="127"/>
      <c r="AG76" s="127"/>
      <c r="AH76" s="127"/>
      <c r="AI76" s="127"/>
      <c r="AJ76" s="127"/>
      <c r="AK76" s="127"/>
      <c r="AL76" s="108"/>
      <c r="AM76" s="127"/>
      <c r="AN76" s="127"/>
      <c r="AO76" s="127"/>
      <c r="AP76" s="127"/>
      <c r="AQ76" s="127"/>
      <c r="AR76" s="127"/>
      <c r="AS76" s="108"/>
      <c r="AT76" s="127"/>
      <c r="AU76" s="108"/>
      <c r="AV76" s="127"/>
      <c r="AW76" s="127"/>
      <c r="AX76" s="108"/>
      <c r="AY76" s="79"/>
      <c r="AZ76" s="79"/>
      <c r="BC76" s="127"/>
    </row>
    <row r="77" spans="1:64" s="80" customFormat="1" x14ac:dyDescent="0.25">
      <c r="A77" s="117"/>
      <c r="M77" s="127"/>
      <c r="Y77" s="149" t="s">
        <v>270</v>
      </c>
      <c r="Z77" s="149"/>
      <c r="AF77" s="127"/>
      <c r="AG77" s="127"/>
      <c r="AH77" s="127"/>
      <c r="AI77" s="127"/>
      <c r="AJ77" s="127"/>
      <c r="AK77" s="127"/>
      <c r="AL77" s="108"/>
      <c r="AM77" s="127"/>
      <c r="AN77" s="127"/>
      <c r="AO77" s="127"/>
      <c r="AP77" s="127"/>
      <c r="AQ77" s="127"/>
      <c r="AR77" s="127"/>
      <c r="AS77" s="108"/>
      <c r="AT77" s="127"/>
      <c r="AU77" s="108"/>
      <c r="AV77" s="127"/>
      <c r="AW77" s="127"/>
      <c r="AX77" s="108">
        <f>+AX70+AX75</f>
        <v>16003.127999999999</v>
      </c>
      <c r="AY77" s="79"/>
      <c r="AZ77" s="79"/>
      <c r="BC77" s="127"/>
    </row>
    <row r="78" spans="1:64" s="80" customFormat="1" x14ac:dyDescent="0.25">
      <c r="A78" s="117" t="s">
        <v>305</v>
      </c>
      <c r="M78" s="127"/>
      <c r="AF78" s="127"/>
      <c r="AG78" s="127"/>
      <c r="AH78" s="127"/>
      <c r="AI78" s="127"/>
      <c r="AJ78" s="127"/>
      <c r="AK78" s="127"/>
      <c r="AL78" s="108"/>
      <c r="AM78" s="127"/>
      <c r="AN78" s="127"/>
      <c r="AO78" s="127"/>
      <c r="AP78" s="127"/>
      <c r="AQ78" s="127"/>
      <c r="AR78" s="127"/>
      <c r="AS78" s="108"/>
      <c r="AT78" s="127"/>
      <c r="AU78" s="108"/>
      <c r="AV78" s="127"/>
      <c r="AW78" s="127"/>
      <c r="AX78" s="108"/>
      <c r="AY78" s="79"/>
      <c r="AZ78" s="79"/>
      <c r="BC78" s="127"/>
    </row>
    <row r="79" spans="1:64" s="80" customFormat="1" x14ac:dyDescent="0.25">
      <c r="A79" s="117" t="s">
        <v>84</v>
      </c>
      <c r="B79" s="80" t="s">
        <v>85</v>
      </c>
      <c r="C79" s="118">
        <f>+AF79</f>
        <v>0</v>
      </c>
      <c r="D79" s="118"/>
      <c r="E79" s="118">
        <f>+AG79</f>
        <v>0</v>
      </c>
      <c r="F79" s="118"/>
      <c r="G79" s="118"/>
      <c r="H79" s="118"/>
      <c r="I79" s="118"/>
      <c r="J79" s="119">
        <f>+AM79</f>
        <v>0</v>
      </c>
      <c r="K79" s="118">
        <f>+AN79</f>
        <v>0</v>
      </c>
      <c r="L79" s="118"/>
      <c r="M79" s="118">
        <f>+AK79</f>
        <v>0</v>
      </c>
      <c r="N79" s="118">
        <f>+AR79</f>
        <v>0</v>
      </c>
      <c r="O79" s="118">
        <f>+AT79</f>
        <v>0</v>
      </c>
      <c r="P79" s="118"/>
      <c r="Q79" s="118"/>
      <c r="R79" s="118">
        <f>+C79+D79+E79+F79-J79-L79+M79-N79-O79+G79-K79</f>
        <v>0</v>
      </c>
      <c r="S79" s="118" t="e">
        <f>+#REF!</f>
        <v>#REF!</v>
      </c>
      <c r="T79" s="118">
        <f>+'C&amp;A'!D78*0.02</f>
        <v>21.911999999999999</v>
      </c>
      <c r="U79" s="118" t="e">
        <f>+C79+D79+E79-J79-L79+F79+M79+S79+T79+G79-K79</f>
        <v>#REF!</v>
      </c>
      <c r="V79" s="118" t="e">
        <f>+U79*0.16</f>
        <v>#REF!</v>
      </c>
      <c r="W79" s="118" t="e">
        <f>+U79+V79</f>
        <v>#REF!</v>
      </c>
      <c r="X79" s="150" t="s">
        <v>236</v>
      </c>
      <c r="Y79" s="150" t="s">
        <v>298</v>
      </c>
      <c r="Z79" s="151" t="s">
        <v>84</v>
      </c>
      <c r="AA79" s="150" t="s">
        <v>299</v>
      </c>
      <c r="AB79" s="150" t="s">
        <v>300</v>
      </c>
      <c r="AC79" s="150"/>
      <c r="AD79" s="152"/>
      <c r="AE79" s="150"/>
      <c r="AF79" s="152">
        <v>0</v>
      </c>
      <c r="AG79" s="152"/>
      <c r="AH79" s="152">
        <v>0</v>
      </c>
      <c r="AI79" s="152"/>
      <c r="AJ79" s="152"/>
      <c r="AK79" s="152"/>
      <c r="AL79" s="152">
        <v>0</v>
      </c>
      <c r="AM79" s="152"/>
      <c r="AN79" s="153"/>
      <c r="AO79" s="153"/>
      <c r="AP79" s="153"/>
      <c r="AQ79" s="152"/>
      <c r="AR79" s="152"/>
      <c r="AS79" s="152">
        <v>0</v>
      </c>
      <c r="AT79" s="153">
        <v>0</v>
      </c>
      <c r="AU79" s="152">
        <v>0</v>
      </c>
      <c r="AV79" s="153">
        <v>0</v>
      </c>
      <c r="AW79" s="153">
        <v>0</v>
      </c>
      <c r="AX79" s="152">
        <v>0</v>
      </c>
      <c r="AY79" s="154">
        <v>1237.2</v>
      </c>
      <c r="AZ79" s="154">
        <v>3148.34</v>
      </c>
      <c r="BA79" s="155">
        <v>4385.54</v>
      </c>
      <c r="BB79" s="156"/>
      <c r="BC79" s="127"/>
    </row>
    <row r="80" spans="1:64" s="80" customFormat="1" x14ac:dyDescent="0.25">
      <c r="A80" s="117"/>
      <c r="M80" s="127"/>
      <c r="AF80" s="127"/>
      <c r="AG80" s="127"/>
      <c r="AH80" s="127"/>
      <c r="AI80" s="127"/>
      <c r="AJ80" s="127"/>
      <c r="AK80" s="127"/>
      <c r="AL80" s="108"/>
      <c r="AM80" s="127"/>
      <c r="AN80" s="127"/>
      <c r="AO80" s="127"/>
      <c r="AP80" s="127"/>
      <c r="AQ80" s="127"/>
      <c r="AR80" s="127"/>
      <c r="AS80" s="108"/>
      <c r="AT80" s="127"/>
      <c r="AU80" s="108"/>
      <c r="AV80" s="127"/>
      <c r="AW80" s="127"/>
      <c r="AX80" s="108"/>
      <c r="AY80" s="79"/>
      <c r="AZ80" s="79"/>
      <c r="BC80" s="127"/>
    </row>
    <row r="81" spans="1:55" s="80" customFormat="1" x14ac:dyDescent="0.25">
      <c r="A81" s="117"/>
      <c r="M81" s="127"/>
      <c r="AF81" s="127"/>
      <c r="AG81" s="127"/>
      <c r="AH81" s="127"/>
      <c r="AI81" s="127"/>
      <c r="AJ81" s="127"/>
      <c r="AK81" s="127"/>
      <c r="AL81" s="108"/>
      <c r="AM81" s="127"/>
      <c r="AN81" s="127"/>
      <c r="AO81" s="127"/>
      <c r="AP81" s="127"/>
      <c r="AQ81" s="127"/>
      <c r="AR81" s="127"/>
      <c r="AS81" s="108"/>
      <c r="AT81" s="127"/>
      <c r="AU81" s="108"/>
      <c r="AV81" s="127"/>
      <c r="AW81" s="127"/>
      <c r="AX81" s="108"/>
      <c r="AY81" s="79"/>
      <c r="AZ81" s="79"/>
      <c r="BC81" s="127"/>
    </row>
    <row r="84" spans="1:55" x14ac:dyDescent="0.25">
      <c r="X84" s="76" t="s">
        <v>271</v>
      </c>
      <c r="Y84" s="88"/>
    </row>
    <row r="85" spans="1:55" x14ac:dyDescent="0.25">
      <c r="X85" s="76" t="s">
        <v>272</v>
      </c>
      <c r="Y85" s="88"/>
    </row>
    <row r="86" spans="1:55" x14ac:dyDescent="0.25">
      <c r="X86" s="76" t="s">
        <v>273</v>
      </c>
      <c r="Y86" s="88"/>
    </row>
    <row r="87" spans="1:55" x14ac:dyDescent="0.25">
      <c r="X87" s="76" t="s">
        <v>274</v>
      </c>
      <c r="Y87" s="88"/>
    </row>
    <row r="88" spans="1:55" x14ac:dyDescent="0.25">
      <c r="X88" s="76" t="s">
        <v>275</v>
      </c>
      <c r="Y88" s="88"/>
    </row>
    <row r="89" spans="1:55" x14ac:dyDescent="0.25">
      <c r="X89" s="76" t="s">
        <v>276</v>
      </c>
      <c r="Y89" s="88"/>
    </row>
    <row r="96" spans="1:55" x14ac:dyDescent="0.25">
      <c r="X96" s="157" t="s">
        <v>236</v>
      </c>
      <c r="Y96" s="157" t="s">
        <v>298</v>
      </c>
      <c r="Z96" s="158" t="s">
        <v>84</v>
      </c>
      <c r="AA96" s="157" t="s">
        <v>299</v>
      </c>
      <c r="AB96" s="157" t="s">
        <v>194</v>
      </c>
      <c r="AC96" s="157"/>
      <c r="AD96" s="159">
        <v>1237.2399999999998</v>
      </c>
      <c r="AE96" s="157">
        <v>4762.76</v>
      </c>
      <c r="AF96" s="159">
        <f>+AD96+AE96</f>
        <v>6000</v>
      </c>
      <c r="AG96" s="159"/>
      <c r="AH96" s="159">
        <v>0</v>
      </c>
      <c r="AI96" s="159"/>
      <c r="AJ96" s="159"/>
      <c r="AK96" s="160">
        <v>45.15</v>
      </c>
      <c r="AL96" s="161">
        <f>SUM(AF96:AJ96)-AK96</f>
        <v>5954.85</v>
      </c>
      <c r="AM96" s="162"/>
      <c r="AN96" s="163"/>
      <c r="AO96" s="163"/>
      <c r="AP96" s="163"/>
      <c r="AQ96" s="24"/>
      <c r="AR96" s="24">
        <v>1014.46</v>
      </c>
      <c r="AS96" s="161">
        <f>+AL96-SUM(AM96:AR96)</f>
        <v>4940.3900000000003</v>
      </c>
      <c r="AT96" s="126">
        <f>IF(AL96&gt;4500,AL96*0.1,0)</f>
        <v>595.48500000000001</v>
      </c>
      <c r="AU96" s="161">
        <f>+AS96-AT96</f>
        <v>4344.9050000000007</v>
      </c>
      <c r="AV96" s="164">
        <f>IF(AL96&lt;4500,AL96*0.1,0)</f>
        <v>0</v>
      </c>
      <c r="AW96" s="126">
        <f>AD96*0.02</f>
        <v>24.744799999999998</v>
      </c>
      <c r="AX96" s="161">
        <f>+AL96+AV96+AW96</f>
        <v>5979.5948000000008</v>
      </c>
      <c r="AY96" s="79">
        <v>1237.2</v>
      </c>
      <c r="AZ96" s="79">
        <v>3148.34</v>
      </c>
      <c r="BA96" s="119">
        <f>+AY96+AZ96-AU96</f>
        <v>40.634999999999309</v>
      </c>
      <c r="BB96" s="80"/>
      <c r="BC96" s="127"/>
    </row>
    <row r="101" spans="32:50" x14ac:dyDescent="0.25"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</row>
    <row r="102" spans="32:50" x14ac:dyDescent="0.25"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</row>
    <row r="103" spans="32:50" x14ac:dyDescent="0.25"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</row>
    <row r="104" spans="32:50" x14ac:dyDescent="0.25"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</row>
    <row r="105" spans="32:50" x14ac:dyDescent="0.25"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</row>
    <row r="106" spans="32:50" x14ac:dyDescent="0.25"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</row>
    <row r="107" spans="32:50" x14ac:dyDescent="0.25"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</row>
    <row r="108" spans="32:50" x14ac:dyDescent="0.25"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</row>
    <row r="109" spans="32:50" x14ac:dyDescent="0.25"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</row>
    <row r="110" spans="32:50" x14ac:dyDescent="0.25"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</row>
    <row r="111" spans="32:50" x14ac:dyDescent="0.25"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</row>
    <row r="112" spans="32:50" x14ac:dyDescent="0.25"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</row>
    <row r="113" spans="32:50" x14ac:dyDescent="0.25"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</row>
    <row r="114" spans="32:50" x14ac:dyDescent="0.25"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</row>
    <row r="115" spans="32:50" x14ac:dyDescent="0.25"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</row>
    <row r="116" spans="32:50" x14ac:dyDescent="0.25"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</row>
    <row r="117" spans="32:50" x14ac:dyDescent="0.25"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</row>
    <row r="118" spans="32:50" x14ac:dyDescent="0.25"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</row>
    <row r="119" spans="32:50" x14ac:dyDescent="0.25"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</row>
    <row r="120" spans="32:50" x14ac:dyDescent="0.25"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</row>
    <row r="121" spans="32:50" x14ac:dyDescent="0.25"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</row>
    <row r="122" spans="32:50" x14ac:dyDescent="0.25"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</row>
    <row r="123" spans="32:50" x14ac:dyDescent="0.25"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</row>
    <row r="124" spans="32:50" x14ac:dyDescent="0.25"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</row>
    <row r="125" spans="32:50" x14ac:dyDescent="0.25"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</row>
    <row r="126" spans="32:50" x14ac:dyDescent="0.25"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</row>
    <row r="127" spans="32:50" x14ac:dyDescent="0.25"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</row>
    <row r="128" spans="32:50" x14ac:dyDescent="0.25"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</row>
    <row r="129" spans="32:50" x14ac:dyDescent="0.25"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</row>
    <row r="130" spans="32:50" x14ac:dyDescent="0.25"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</row>
    <row r="131" spans="32:50" x14ac:dyDescent="0.25"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</row>
    <row r="132" spans="32:50" x14ac:dyDescent="0.25"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</row>
    <row r="133" spans="32:50" x14ac:dyDescent="0.25"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</row>
    <row r="134" spans="32:50" x14ac:dyDescent="0.25"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</row>
    <row r="135" spans="32:50" x14ac:dyDescent="0.25"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</row>
    <row r="136" spans="32:50" x14ac:dyDescent="0.25"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</row>
    <row r="137" spans="32:50" x14ac:dyDescent="0.25"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</row>
    <row r="138" spans="32:50" x14ac:dyDescent="0.25"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</row>
    <row r="139" spans="32:50" x14ac:dyDescent="0.25"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</row>
    <row r="140" spans="32:50" x14ac:dyDescent="0.25"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</row>
    <row r="141" spans="32:50" x14ac:dyDescent="0.25"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</row>
    <row r="142" spans="32:50" x14ac:dyDescent="0.25"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</row>
    <row r="143" spans="32:50" x14ac:dyDescent="0.25"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</row>
    <row r="144" spans="32:50" x14ac:dyDescent="0.25"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</row>
    <row r="145" spans="32:50" x14ac:dyDescent="0.25"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</row>
    <row r="146" spans="32:50" x14ac:dyDescent="0.25"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</row>
    <row r="147" spans="32:50" x14ac:dyDescent="0.25"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</row>
    <row r="148" spans="32:50" x14ac:dyDescent="0.25"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</row>
    <row r="149" spans="32:50" x14ac:dyDescent="0.25"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</row>
    <row r="150" spans="32:50" x14ac:dyDescent="0.25"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</row>
    <row r="151" spans="32:50" x14ac:dyDescent="0.25"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</row>
    <row r="152" spans="32:50" x14ac:dyDescent="0.25"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</row>
    <row r="153" spans="32:50" x14ac:dyDescent="0.25"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</row>
    <row r="154" spans="32:50" x14ac:dyDescent="0.25"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</row>
    <row r="155" spans="32:50" x14ac:dyDescent="0.25"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</row>
    <row r="156" spans="32:50" x14ac:dyDescent="0.25"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</row>
    <row r="157" spans="32:50" x14ac:dyDescent="0.25"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</row>
    <row r="158" spans="32:50" x14ac:dyDescent="0.25"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</row>
    <row r="159" spans="32:50" x14ac:dyDescent="0.25"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</row>
    <row r="160" spans="32:50" x14ac:dyDescent="0.25"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</row>
    <row r="161" spans="32:50" x14ac:dyDescent="0.25"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</row>
    <row r="162" spans="32:50" x14ac:dyDescent="0.25"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</row>
    <row r="163" spans="32:50" x14ac:dyDescent="0.25"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</row>
    <row r="164" spans="32:50" x14ac:dyDescent="0.25"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</row>
    <row r="165" spans="32:50" x14ac:dyDescent="0.25"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</row>
    <row r="166" spans="32:50" x14ac:dyDescent="0.25"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</row>
    <row r="167" spans="32:50" x14ac:dyDescent="0.25"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</row>
    <row r="168" spans="32:50" x14ac:dyDescent="0.25"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</row>
    <row r="169" spans="32:50" x14ac:dyDescent="0.25"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</row>
    <row r="170" spans="32:50" x14ac:dyDescent="0.25"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</row>
    <row r="171" spans="32:50" x14ac:dyDescent="0.25"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</row>
    <row r="172" spans="32:50" x14ac:dyDescent="0.25"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</row>
    <row r="173" spans="32:50" x14ac:dyDescent="0.25"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</row>
    <row r="174" spans="32:50" x14ac:dyDescent="0.25"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</row>
    <row r="175" spans="32:50" x14ac:dyDescent="0.25"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</row>
    <row r="176" spans="32:50" x14ac:dyDescent="0.25"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</row>
    <row r="177" spans="32:50" x14ac:dyDescent="0.25"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</row>
    <row r="178" spans="32:50" x14ac:dyDescent="0.25"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</row>
    <row r="179" spans="32:50" x14ac:dyDescent="0.25"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</row>
    <row r="180" spans="32:50" x14ac:dyDescent="0.25"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</row>
    <row r="181" spans="32:50" x14ac:dyDescent="0.25"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</row>
    <row r="182" spans="32:50" x14ac:dyDescent="0.25"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</row>
    <row r="183" spans="32:50" x14ac:dyDescent="0.25"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</row>
    <row r="184" spans="32:50" x14ac:dyDescent="0.25"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</row>
    <row r="185" spans="32:50" x14ac:dyDescent="0.25"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</row>
    <row r="186" spans="32:50" x14ac:dyDescent="0.25"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</row>
    <row r="187" spans="32:50" x14ac:dyDescent="0.25"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</row>
    <row r="188" spans="32:50" x14ac:dyDescent="0.25"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</row>
    <row r="189" spans="32:50" x14ac:dyDescent="0.25"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76"/>
      <c r="AX189" s="76"/>
    </row>
    <row r="190" spans="32:50" x14ac:dyDescent="0.25"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X190" s="76"/>
    </row>
    <row r="191" spans="32:50" x14ac:dyDescent="0.25"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</row>
    <row r="192" spans="32:50" x14ac:dyDescent="0.25"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  <c r="AV192" s="76"/>
      <c r="AW192" s="76"/>
      <c r="AX192" s="76"/>
    </row>
    <row r="193" spans="32:50" x14ac:dyDescent="0.25"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76"/>
      <c r="AX193" s="76"/>
    </row>
    <row r="194" spans="32:50" x14ac:dyDescent="0.25"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  <c r="AV194" s="76"/>
      <c r="AW194" s="76"/>
      <c r="AX194" s="76"/>
    </row>
    <row r="195" spans="32:50" x14ac:dyDescent="0.25"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  <c r="AV195" s="76"/>
      <c r="AW195" s="76"/>
      <c r="AX195" s="76"/>
    </row>
    <row r="196" spans="32:50" x14ac:dyDescent="0.25"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  <c r="AV196" s="76"/>
      <c r="AW196" s="76"/>
      <c r="AX196" s="76"/>
    </row>
    <row r="197" spans="32:50" x14ac:dyDescent="0.25"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  <c r="AV197" s="76"/>
      <c r="AW197" s="76"/>
      <c r="AX197" s="76"/>
    </row>
    <row r="198" spans="32:50" x14ac:dyDescent="0.25"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</row>
    <row r="199" spans="32:50" x14ac:dyDescent="0.25"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</row>
    <row r="200" spans="32:50" x14ac:dyDescent="0.25"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</row>
    <row r="201" spans="32:50" x14ac:dyDescent="0.25"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</row>
    <row r="202" spans="32:50" x14ac:dyDescent="0.25"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</row>
    <row r="203" spans="32:50" x14ac:dyDescent="0.25"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</row>
    <row r="204" spans="32:50" x14ac:dyDescent="0.25"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</row>
    <row r="205" spans="32:50" x14ac:dyDescent="0.25"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  <c r="AV205" s="76"/>
      <c r="AW205" s="76"/>
      <c r="AX205" s="76"/>
    </row>
    <row r="206" spans="32:50" x14ac:dyDescent="0.25"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</row>
    <row r="207" spans="32:50" x14ac:dyDescent="0.25"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</row>
    <row r="208" spans="32:50" x14ac:dyDescent="0.25"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  <c r="AV208" s="76"/>
      <c r="AW208" s="76"/>
      <c r="AX208" s="76"/>
    </row>
    <row r="209" spans="32:50" x14ac:dyDescent="0.25"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  <c r="AV209" s="76"/>
      <c r="AW209" s="76"/>
      <c r="AX209" s="76"/>
    </row>
    <row r="210" spans="32:50" x14ac:dyDescent="0.25"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</row>
    <row r="211" spans="32:50" x14ac:dyDescent="0.25"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  <c r="AV211" s="76"/>
      <c r="AW211" s="76"/>
      <c r="AX211" s="76"/>
    </row>
    <row r="212" spans="32:50" x14ac:dyDescent="0.25"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  <c r="AV212" s="76"/>
      <c r="AW212" s="76"/>
      <c r="AX212" s="76"/>
    </row>
    <row r="213" spans="32:50" x14ac:dyDescent="0.25"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  <c r="AV213" s="76"/>
      <c r="AW213" s="76"/>
      <c r="AX213" s="76"/>
    </row>
    <row r="214" spans="32:50" x14ac:dyDescent="0.25"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  <c r="AV214" s="76"/>
      <c r="AW214" s="76"/>
      <c r="AX214" s="76"/>
    </row>
    <row r="215" spans="32:50" x14ac:dyDescent="0.25"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  <c r="AV215" s="76"/>
      <c r="AW215" s="76"/>
      <c r="AX215" s="76"/>
    </row>
    <row r="216" spans="32:50" x14ac:dyDescent="0.25"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</row>
    <row r="217" spans="32:50" x14ac:dyDescent="0.25"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</row>
    <row r="218" spans="32:50" x14ac:dyDescent="0.25"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  <c r="AV218" s="76"/>
      <c r="AW218" s="76"/>
      <c r="AX218" s="76"/>
    </row>
    <row r="219" spans="32:50" x14ac:dyDescent="0.25"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</row>
    <row r="220" spans="32:50" x14ac:dyDescent="0.25"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  <c r="AV220" s="76"/>
      <c r="AW220" s="76"/>
      <c r="AX220" s="76"/>
    </row>
    <row r="221" spans="32:50" x14ac:dyDescent="0.25"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</row>
    <row r="222" spans="32:50" x14ac:dyDescent="0.25"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</row>
    <row r="223" spans="32:50" x14ac:dyDescent="0.25"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  <c r="AV223" s="76"/>
      <c r="AW223" s="76"/>
      <c r="AX223" s="76"/>
    </row>
    <row r="224" spans="32:50" x14ac:dyDescent="0.25"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  <c r="AV224" s="76"/>
      <c r="AW224" s="76"/>
      <c r="AX224" s="76"/>
    </row>
    <row r="225" spans="32:50" x14ac:dyDescent="0.25"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  <c r="AR225" s="76"/>
      <c r="AS225" s="76"/>
      <c r="AT225" s="76"/>
      <c r="AU225" s="76"/>
      <c r="AV225" s="76"/>
      <c r="AW225" s="76"/>
      <c r="AX225" s="76"/>
    </row>
    <row r="226" spans="32:50" x14ac:dyDescent="0.25"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  <c r="AR226" s="76"/>
      <c r="AS226" s="76"/>
      <c r="AT226" s="76"/>
      <c r="AU226" s="76"/>
      <c r="AV226" s="76"/>
      <c r="AW226" s="76"/>
      <c r="AX226" s="76"/>
    </row>
    <row r="227" spans="32:50" x14ac:dyDescent="0.25"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  <c r="AR227" s="76"/>
      <c r="AS227" s="76"/>
      <c r="AT227" s="76"/>
      <c r="AU227" s="76"/>
      <c r="AV227" s="76"/>
      <c r="AW227" s="76"/>
      <c r="AX227" s="76"/>
    </row>
    <row r="228" spans="32:50" x14ac:dyDescent="0.25"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  <c r="AR228" s="76"/>
      <c r="AS228" s="76"/>
      <c r="AT228" s="76"/>
      <c r="AU228" s="76"/>
      <c r="AV228" s="76"/>
      <c r="AW228" s="76"/>
      <c r="AX228" s="76"/>
    </row>
    <row r="229" spans="32:50" x14ac:dyDescent="0.25"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  <c r="AP229" s="76"/>
      <c r="AQ229" s="76"/>
      <c r="AR229" s="76"/>
      <c r="AS229" s="76"/>
      <c r="AT229" s="76"/>
      <c r="AU229" s="76"/>
      <c r="AV229" s="76"/>
      <c r="AW229" s="76"/>
      <c r="AX229" s="76"/>
    </row>
    <row r="230" spans="32:50" x14ac:dyDescent="0.25"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  <c r="AP230" s="76"/>
      <c r="AQ230" s="76"/>
      <c r="AR230" s="76"/>
      <c r="AS230" s="76"/>
      <c r="AT230" s="76"/>
      <c r="AU230" s="76"/>
      <c r="AV230" s="76"/>
      <c r="AW230" s="76"/>
      <c r="AX230" s="76"/>
    </row>
    <row r="231" spans="32:50" x14ac:dyDescent="0.25"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  <c r="AV231" s="76"/>
      <c r="AW231" s="76"/>
      <c r="AX231" s="76"/>
    </row>
    <row r="232" spans="32:50" x14ac:dyDescent="0.25"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76"/>
      <c r="AX232" s="76"/>
    </row>
    <row r="233" spans="32:50" x14ac:dyDescent="0.25"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  <c r="AR233" s="76"/>
      <c r="AS233" s="76"/>
      <c r="AT233" s="76"/>
      <c r="AU233" s="76"/>
      <c r="AV233" s="76"/>
      <c r="AW233" s="76"/>
      <c r="AX233" s="76"/>
    </row>
    <row r="234" spans="32:50" x14ac:dyDescent="0.25"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</row>
    <row r="235" spans="32:50" x14ac:dyDescent="0.25"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  <c r="AV235" s="76"/>
      <c r="AW235" s="76"/>
      <c r="AX235" s="76"/>
    </row>
    <row r="236" spans="32:50" x14ac:dyDescent="0.25"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  <c r="AR236" s="76"/>
      <c r="AS236" s="76"/>
      <c r="AT236" s="76"/>
      <c r="AU236" s="76"/>
      <c r="AV236" s="76"/>
      <c r="AW236" s="76"/>
      <c r="AX236" s="76"/>
    </row>
    <row r="237" spans="32:50" x14ac:dyDescent="0.25"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6"/>
      <c r="AQ237" s="76"/>
      <c r="AR237" s="76"/>
      <c r="AS237" s="76"/>
      <c r="AT237" s="76"/>
      <c r="AU237" s="76"/>
      <c r="AV237" s="76"/>
      <c r="AW237" s="76"/>
      <c r="AX237" s="76"/>
    </row>
    <row r="238" spans="32:50" x14ac:dyDescent="0.25"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  <c r="AP238" s="76"/>
      <c r="AQ238" s="76"/>
      <c r="AR238" s="76"/>
      <c r="AS238" s="76"/>
      <c r="AT238" s="76"/>
      <c r="AU238" s="76"/>
      <c r="AV238" s="76"/>
      <c r="AW238" s="76"/>
      <c r="AX238" s="76"/>
    </row>
    <row r="239" spans="32:50" x14ac:dyDescent="0.25"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  <c r="AP239" s="76"/>
      <c r="AQ239" s="76"/>
      <c r="AR239" s="76"/>
      <c r="AS239" s="76"/>
      <c r="AT239" s="76"/>
      <c r="AU239" s="76"/>
      <c r="AV239" s="76"/>
      <c r="AW239" s="76"/>
      <c r="AX239" s="76"/>
    </row>
    <row r="240" spans="32:50" x14ac:dyDescent="0.25"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  <c r="AV240" s="76"/>
      <c r="AW240" s="76"/>
      <c r="AX240" s="76"/>
    </row>
    <row r="241" spans="32:50" x14ac:dyDescent="0.25"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  <c r="AV241" s="76"/>
      <c r="AW241" s="76"/>
      <c r="AX241" s="76"/>
    </row>
    <row r="242" spans="32:50" x14ac:dyDescent="0.25"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6"/>
      <c r="AQ242" s="76"/>
      <c r="AR242" s="76"/>
      <c r="AS242" s="76"/>
      <c r="AT242" s="76"/>
      <c r="AU242" s="76"/>
      <c r="AV242" s="76"/>
      <c r="AW242" s="76"/>
      <c r="AX242" s="76"/>
    </row>
    <row r="243" spans="32:50" x14ac:dyDescent="0.25">
      <c r="AF243" s="76"/>
      <c r="AG243" s="76"/>
      <c r="AH243" s="76"/>
      <c r="AI243" s="76"/>
      <c r="AJ243" s="76"/>
      <c r="AK243" s="76"/>
      <c r="AL243" s="76"/>
      <c r="AM243" s="76"/>
      <c r="AN243" s="76"/>
      <c r="AO243" s="76"/>
      <c r="AP243" s="76"/>
      <c r="AQ243" s="76"/>
      <c r="AR243" s="76"/>
      <c r="AS243" s="76"/>
      <c r="AT243" s="76"/>
      <c r="AU243" s="76"/>
      <c r="AV243" s="76"/>
      <c r="AW243" s="76"/>
      <c r="AX243" s="76"/>
    </row>
    <row r="244" spans="32:50" x14ac:dyDescent="0.25">
      <c r="AF244" s="76"/>
      <c r="AG244" s="76"/>
      <c r="AH244" s="76"/>
      <c r="AI244" s="76"/>
      <c r="AJ244" s="76"/>
      <c r="AK244" s="76"/>
      <c r="AL244" s="76"/>
      <c r="AM244" s="76"/>
      <c r="AN244" s="76"/>
      <c r="AO244" s="76"/>
      <c r="AP244" s="76"/>
      <c r="AQ244" s="76"/>
      <c r="AR244" s="76"/>
      <c r="AS244" s="76"/>
      <c r="AT244" s="76"/>
      <c r="AU244" s="76"/>
      <c r="AV244" s="76"/>
      <c r="AW244" s="76"/>
      <c r="AX244" s="76"/>
    </row>
    <row r="245" spans="32:50" x14ac:dyDescent="0.25">
      <c r="AF245" s="76"/>
      <c r="AG245" s="76"/>
      <c r="AH245" s="76"/>
      <c r="AI245" s="76"/>
      <c r="AJ245" s="76"/>
      <c r="AK245" s="76"/>
      <c r="AL245" s="76"/>
      <c r="AM245" s="76"/>
      <c r="AN245" s="76"/>
      <c r="AO245" s="76"/>
      <c r="AP245" s="76"/>
      <c r="AQ245" s="76"/>
      <c r="AR245" s="76"/>
      <c r="AS245" s="76"/>
      <c r="AT245" s="76"/>
      <c r="AU245" s="76"/>
      <c r="AV245" s="76"/>
      <c r="AW245" s="76"/>
      <c r="AX245" s="76"/>
    </row>
    <row r="246" spans="32:50" x14ac:dyDescent="0.25"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  <c r="AR246" s="76"/>
      <c r="AS246" s="76"/>
      <c r="AT246" s="76"/>
      <c r="AU246" s="76"/>
      <c r="AV246" s="76"/>
      <c r="AW246" s="76"/>
      <c r="AX246" s="76"/>
    </row>
    <row r="247" spans="32:50" x14ac:dyDescent="0.25"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  <c r="AP247" s="76"/>
      <c r="AQ247" s="76"/>
      <c r="AR247" s="76"/>
      <c r="AS247" s="76"/>
      <c r="AT247" s="76"/>
      <c r="AU247" s="76"/>
      <c r="AV247" s="76"/>
      <c r="AW247" s="76"/>
      <c r="AX247" s="76"/>
    </row>
    <row r="248" spans="32:50" x14ac:dyDescent="0.25">
      <c r="AF248" s="76"/>
      <c r="AG248" s="76"/>
      <c r="AH248" s="76"/>
      <c r="AI248" s="76"/>
      <c r="AJ248" s="76"/>
      <c r="AK248" s="76"/>
      <c r="AL248" s="76"/>
      <c r="AM248" s="76"/>
      <c r="AN248" s="76"/>
      <c r="AO248" s="76"/>
      <c r="AP248" s="76"/>
      <c r="AQ248" s="76"/>
      <c r="AR248" s="76"/>
      <c r="AS248" s="76"/>
      <c r="AT248" s="76"/>
      <c r="AU248" s="76"/>
      <c r="AV248" s="76"/>
      <c r="AW248" s="76"/>
      <c r="AX248" s="76"/>
    </row>
    <row r="249" spans="32:50" x14ac:dyDescent="0.25">
      <c r="AF249" s="76"/>
      <c r="AG249" s="76"/>
      <c r="AH249" s="76"/>
      <c r="AI249" s="76"/>
      <c r="AJ249" s="76"/>
      <c r="AK249" s="76"/>
      <c r="AL249" s="76"/>
      <c r="AM249" s="76"/>
      <c r="AN249" s="76"/>
      <c r="AO249" s="76"/>
      <c r="AP249" s="76"/>
      <c r="AQ249" s="76"/>
      <c r="AR249" s="76"/>
      <c r="AS249" s="76"/>
      <c r="AT249" s="76"/>
      <c r="AU249" s="76"/>
      <c r="AV249" s="76"/>
      <c r="AW249" s="76"/>
      <c r="AX249" s="76"/>
    </row>
    <row r="250" spans="32:50" x14ac:dyDescent="0.25">
      <c r="AF250" s="76"/>
      <c r="AG250" s="76"/>
      <c r="AH250" s="76"/>
      <c r="AI250" s="76"/>
      <c r="AJ250" s="76"/>
      <c r="AK250" s="76"/>
      <c r="AL250" s="76"/>
      <c r="AM250" s="76"/>
      <c r="AN250" s="76"/>
      <c r="AO250" s="76"/>
      <c r="AP250" s="76"/>
      <c r="AQ250" s="76"/>
      <c r="AR250" s="76"/>
      <c r="AS250" s="76"/>
      <c r="AT250" s="76"/>
      <c r="AU250" s="76"/>
      <c r="AV250" s="76"/>
      <c r="AW250" s="76"/>
      <c r="AX250" s="76"/>
    </row>
    <row r="251" spans="32:50" x14ac:dyDescent="0.25">
      <c r="AF251" s="76"/>
      <c r="AG251" s="76"/>
      <c r="AH251" s="76"/>
      <c r="AI251" s="76"/>
      <c r="AJ251" s="76"/>
      <c r="AK251" s="76"/>
      <c r="AL251" s="76"/>
      <c r="AM251" s="76"/>
      <c r="AN251" s="76"/>
      <c r="AO251" s="76"/>
      <c r="AP251" s="76"/>
      <c r="AQ251" s="76"/>
      <c r="AR251" s="76"/>
      <c r="AS251" s="76"/>
      <c r="AT251" s="76"/>
      <c r="AU251" s="76"/>
      <c r="AV251" s="76"/>
      <c r="AW251" s="76"/>
      <c r="AX251" s="76"/>
    </row>
    <row r="252" spans="32:50" x14ac:dyDescent="0.25"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6"/>
      <c r="AQ252" s="76"/>
      <c r="AR252" s="76"/>
      <c r="AS252" s="76"/>
      <c r="AT252" s="76"/>
      <c r="AU252" s="76"/>
      <c r="AV252" s="76"/>
      <c r="AW252" s="76"/>
      <c r="AX252" s="76"/>
    </row>
    <row r="253" spans="32:50" x14ac:dyDescent="0.25">
      <c r="AF253" s="76"/>
      <c r="AG253" s="76"/>
      <c r="AH253" s="76"/>
      <c r="AI253" s="76"/>
      <c r="AJ253" s="76"/>
      <c r="AK253" s="76"/>
      <c r="AL253" s="76"/>
      <c r="AM253" s="76"/>
      <c r="AN253" s="76"/>
      <c r="AO253" s="76"/>
      <c r="AP253" s="76"/>
      <c r="AQ253" s="76"/>
      <c r="AR253" s="76"/>
      <c r="AS253" s="76"/>
      <c r="AT253" s="76"/>
      <c r="AU253" s="76"/>
      <c r="AV253" s="76"/>
      <c r="AW253" s="76"/>
      <c r="AX253" s="76"/>
    </row>
    <row r="254" spans="32:50" x14ac:dyDescent="0.25">
      <c r="AF254" s="76"/>
      <c r="AG254" s="76"/>
      <c r="AH254" s="76"/>
      <c r="AI254" s="76"/>
      <c r="AJ254" s="76"/>
      <c r="AK254" s="76"/>
      <c r="AL254" s="76"/>
      <c r="AM254" s="76"/>
      <c r="AN254" s="76"/>
      <c r="AO254" s="76"/>
      <c r="AP254" s="76"/>
      <c r="AQ254" s="76"/>
      <c r="AR254" s="76"/>
      <c r="AS254" s="76"/>
      <c r="AT254" s="76"/>
      <c r="AU254" s="76"/>
      <c r="AV254" s="76"/>
      <c r="AW254" s="76"/>
      <c r="AX254" s="76"/>
    </row>
    <row r="255" spans="32:50" x14ac:dyDescent="0.25">
      <c r="AF255" s="76"/>
      <c r="AG255" s="76"/>
      <c r="AH255" s="76"/>
      <c r="AI255" s="76"/>
      <c r="AJ255" s="76"/>
      <c r="AK255" s="76"/>
      <c r="AL255" s="76"/>
      <c r="AM255" s="76"/>
      <c r="AN255" s="76"/>
      <c r="AO255" s="76"/>
      <c r="AP255" s="76"/>
      <c r="AQ255" s="76"/>
      <c r="AR255" s="76"/>
      <c r="AS255" s="76"/>
      <c r="AT255" s="76"/>
      <c r="AU255" s="76"/>
      <c r="AV255" s="76"/>
      <c r="AW255" s="76"/>
      <c r="AX255" s="76"/>
    </row>
    <row r="256" spans="32:50" x14ac:dyDescent="0.25">
      <c r="AF256" s="76"/>
      <c r="AG256" s="76"/>
      <c r="AH256" s="76"/>
      <c r="AI256" s="76"/>
      <c r="AJ256" s="76"/>
      <c r="AK256" s="76"/>
      <c r="AL256" s="76"/>
      <c r="AM256" s="76"/>
      <c r="AN256" s="76"/>
      <c r="AO256" s="76"/>
      <c r="AP256" s="76"/>
      <c r="AQ256" s="76"/>
      <c r="AR256" s="76"/>
      <c r="AS256" s="76"/>
      <c r="AT256" s="76"/>
      <c r="AU256" s="76"/>
      <c r="AV256" s="76"/>
      <c r="AW256" s="76"/>
      <c r="AX256" s="76"/>
    </row>
    <row r="257" spans="32:50" x14ac:dyDescent="0.25">
      <c r="AF257" s="76"/>
      <c r="AG257" s="76"/>
      <c r="AH257" s="76"/>
      <c r="AI257" s="76"/>
      <c r="AJ257" s="76"/>
      <c r="AK257" s="76"/>
      <c r="AL257" s="76"/>
      <c r="AM257" s="76"/>
      <c r="AN257" s="76"/>
      <c r="AO257" s="76"/>
      <c r="AP257" s="76"/>
      <c r="AQ257" s="76"/>
      <c r="AR257" s="76"/>
      <c r="AS257" s="76"/>
      <c r="AT257" s="76"/>
      <c r="AU257" s="76"/>
      <c r="AV257" s="76"/>
      <c r="AW257" s="76"/>
      <c r="AX257" s="76"/>
    </row>
    <row r="258" spans="32:50" x14ac:dyDescent="0.25">
      <c r="AF258" s="76"/>
      <c r="AG258" s="76"/>
      <c r="AH258" s="76"/>
      <c r="AI258" s="76"/>
      <c r="AJ258" s="76"/>
      <c r="AK258" s="76"/>
      <c r="AL258" s="76"/>
      <c r="AM258" s="76"/>
      <c r="AN258" s="76"/>
      <c r="AO258" s="76"/>
      <c r="AP258" s="76"/>
      <c r="AQ258" s="76"/>
      <c r="AR258" s="76"/>
      <c r="AS258" s="76"/>
      <c r="AT258" s="76"/>
      <c r="AU258" s="76"/>
      <c r="AV258" s="76"/>
      <c r="AW258" s="76"/>
      <c r="AX258" s="76"/>
    </row>
    <row r="259" spans="32:50" x14ac:dyDescent="0.25">
      <c r="AF259" s="76"/>
      <c r="AG259" s="76"/>
      <c r="AH259" s="76"/>
      <c r="AI259" s="76"/>
      <c r="AJ259" s="76"/>
      <c r="AK259" s="76"/>
      <c r="AL259" s="76"/>
      <c r="AM259" s="76"/>
      <c r="AN259" s="76"/>
      <c r="AO259" s="76"/>
      <c r="AP259" s="76"/>
      <c r="AQ259" s="76"/>
      <c r="AR259" s="76"/>
      <c r="AS259" s="76"/>
      <c r="AT259" s="76"/>
      <c r="AU259" s="76"/>
      <c r="AV259" s="76"/>
      <c r="AW259" s="76"/>
      <c r="AX259" s="76"/>
    </row>
    <row r="260" spans="32:50" x14ac:dyDescent="0.25">
      <c r="AF260" s="76"/>
      <c r="AG260" s="76"/>
      <c r="AH260" s="76"/>
      <c r="AI260" s="76"/>
      <c r="AJ260" s="76"/>
      <c r="AK260" s="76"/>
      <c r="AL260" s="76"/>
      <c r="AM260" s="76"/>
      <c r="AN260" s="76"/>
      <c r="AO260" s="76"/>
      <c r="AP260" s="76"/>
      <c r="AQ260" s="76"/>
      <c r="AR260" s="76"/>
      <c r="AS260" s="76"/>
      <c r="AT260" s="76"/>
      <c r="AU260" s="76"/>
      <c r="AV260" s="76"/>
      <c r="AW260" s="76"/>
      <c r="AX260" s="76"/>
    </row>
    <row r="261" spans="32:50" x14ac:dyDescent="0.25">
      <c r="AF261" s="76"/>
      <c r="AG261" s="76"/>
      <c r="AH261" s="76"/>
      <c r="AI261" s="76"/>
      <c r="AJ261" s="76"/>
      <c r="AK261" s="76"/>
      <c r="AL261" s="76"/>
      <c r="AM261" s="76"/>
      <c r="AN261" s="76"/>
      <c r="AO261" s="76"/>
      <c r="AP261" s="76"/>
      <c r="AQ261" s="76"/>
      <c r="AR261" s="76"/>
      <c r="AS261" s="76"/>
      <c r="AT261" s="76"/>
      <c r="AU261" s="76"/>
      <c r="AV261" s="76"/>
      <c r="AW261" s="76"/>
      <c r="AX261" s="76"/>
    </row>
    <row r="262" spans="32:50" x14ac:dyDescent="0.25">
      <c r="AF262" s="76"/>
      <c r="AG262" s="76"/>
      <c r="AH262" s="76"/>
      <c r="AI262" s="76"/>
      <c r="AJ262" s="76"/>
      <c r="AK262" s="76"/>
      <c r="AL262" s="76"/>
      <c r="AM262" s="76"/>
      <c r="AN262" s="76"/>
      <c r="AO262" s="76"/>
      <c r="AP262" s="76"/>
      <c r="AQ262" s="76"/>
      <c r="AR262" s="76"/>
      <c r="AS262" s="76"/>
      <c r="AT262" s="76"/>
      <c r="AU262" s="76"/>
      <c r="AV262" s="76"/>
      <c r="AW262" s="76"/>
      <c r="AX262" s="76"/>
    </row>
    <row r="263" spans="32:50" x14ac:dyDescent="0.25">
      <c r="AF263" s="76"/>
      <c r="AG263" s="76"/>
      <c r="AH263" s="76"/>
      <c r="AI263" s="76"/>
      <c r="AJ263" s="76"/>
      <c r="AK263" s="76"/>
      <c r="AL263" s="76"/>
      <c r="AM263" s="76"/>
      <c r="AN263" s="76"/>
      <c r="AO263" s="76"/>
      <c r="AP263" s="76"/>
      <c r="AQ263" s="76"/>
      <c r="AR263" s="76"/>
      <c r="AS263" s="76"/>
      <c r="AT263" s="76"/>
      <c r="AU263" s="76"/>
      <c r="AV263" s="76"/>
      <c r="AW263" s="76"/>
      <c r="AX263" s="76"/>
    </row>
    <row r="264" spans="32:50" x14ac:dyDescent="0.25">
      <c r="AF264" s="76"/>
      <c r="AG264" s="76"/>
      <c r="AH264" s="76"/>
      <c r="AI264" s="76"/>
      <c r="AJ264" s="76"/>
      <c r="AK264" s="76"/>
      <c r="AL264" s="76"/>
      <c r="AM264" s="76"/>
      <c r="AN264" s="76"/>
      <c r="AO264" s="76"/>
      <c r="AP264" s="76"/>
      <c r="AQ264" s="76"/>
      <c r="AR264" s="76"/>
      <c r="AS264" s="76"/>
      <c r="AT264" s="76"/>
      <c r="AU264" s="76"/>
      <c r="AV264" s="76"/>
      <c r="AW264" s="76"/>
      <c r="AX264" s="76"/>
    </row>
    <row r="265" spans="32:50" x14ac:dyDescent="0.25">
      <c r="AF265" s="76"/>
      <c r="AG265" s="76"/>
      <c r="AH265" s="76"/>
      <c r="AI265" s="76"/>
      <c r="AJ265" s="76"/>
      <c r="AK265" s="76"/>
      <c r="AL265" s="76"/>
      <c r="AM265" s="76"/>
      <c r="AN265" s="76"/>
      <c r="AO265" s="76"/>
      <c r="AP265" s="76"/>
      <c r="AQ265" s="76"/>
      <c r="AR265" s="76"/>
      <c r="AS265" s="76"/>
      <c r="AT265" s="76"/>
      <c r="AU265" s="76"/>
      <c r="AV265" s="76"/>
      <c r="AW265" s="76"/>
      <c r="AX265" s="76"/>
    </row>
    <row r="266" spans="32:50" x14ac:dyDescent="0.25">
      <c r="AF266" s="76"/>
      <c r="AG266" s="76"/>
      <c r="AH266" s="76"/>
      <c r="AI266" s="76"/>
      <c r="AJ266" s="76"/>
      <c r="AK266" s="76"/>
      <c r="AL266" s="76"/>
      <c r="AM266" s="76"/>
      <c r="AN266" s="76"/>
      <c r="AO266" s="76"/>
      <c r="AP266" s="76"/>
      <c r="AQ266" s="76"/>
      <c r="AR266" s="76"/>
      <c r="AS266" s="76"/>
      <c r="AT266" s="76"/>
      <c r="AU266" s="76"/>
      <c r="AV266" s="76"/>
      <c r="AW266" s="76"/>
      <c r="AX266" s="76"/>
    </row>
    <row r="267" spans="32:50" x14ac:dyDescent="0.25"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  <c r="AP267" s="76"/>
      <c r="AQ267" s="76"/>
      <c r="AR267" s="76"/>
      <c r="AS267" s="76"/>
      <c r="AT267" s="76"/>
      <c r="AU267" s="76"/>
      <c r="AV267" s="76"/>
      <c r="AW267" s="76"/>
      <c r="AX267" s="76"/>
    </row>
    <row r="268" spans="32:50" x14ac:dyDescent="0.25">
      <c r="AF268" s="76"/>
      <c r="AG268" s="76"/>
      <c r="AH268" s="76"/>
      <c r="AI268" s="76"/>
      <c r="AJ268" s="76"/>
      <c r="AK268" s="76"/>
      <c r="AL268" s="76"/>
      <c r="AM268" s="76"/>
      <c r="AN268" s="76"/>
      <c r="AO268" s="76"/>
      <c r="AP268" s="76"/>
      <c r="AQ268" s="76"/>
      <c r="AR268" s="76"/>
      <c r="AS268" s="76"/>
      <c r="AT268" s="76"/>
      <c r="AU268" s="76"/>
      <c r="AV268" s="76"/>
      <c r="AW268" s="76"/>
      <c r="AX268" s="76"/>
    </row>
    <row r="269" spans="32:50" x14ac:dyDescent="0.25">
      <c r="AF269" s="76"/>
      <c r="AG269" s="76"/>
      <c r="AH269" s="76"/>
      <c r="AI269" s="76"/>
      <c r="AJ269" s="76"/>
      <c r="AK269" s="76"/>
      <c r="AL269" s="76"/>
      <c r="AM269" s="76"/>
      <c r="AN269" s="76"/>
      <c r="AO269" s="76"/>
      <c r="AP269" s="76"/>
      <c r="AQ269" s="76"/>
      <c r="AR269" s="76"/>
      <c r="AS269" s="76"/>
      <c r="AT269" s="76"/>
      <c r="AU269" s="76"/>
      <c r="AV269" s="76"/>
      <c r="AW269" s="76"/>
      <c r="AX269" s="76"/>
    </row>
    <row r="270" spans="32:50" x14ac:dyDescent="0.25"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  <c r="AP270" s="76"/>
      <c r="AQ270" s="76"/>
      <c r="AR270" s="76"/>
      <c r="AS270" s="76"/>
      <c r="AT270" s="76"/>
      <c r="AU270" s="76"/>
      <c r="AV270" s="76"/>
      <c r="AW270" s="76"/>
      <c r="AX270" s="76"/>
    </row>
    <row r="271" spans="32:50" x14ac:dyDescent="0.25">
      <c r="AF271" s="76"/>
      <c r="AG271" s="76"/>
      <c r="AH271" s="76"/>
      <c r="AI271" s="76"/>
      <c r="AJ271" s="76"/>
      <c r="AK271" s="76"/>
      <c r="AL271" s="76"/>
      <c r="AM271" s="76"/>
      <c r="AN271" s="76"/>
      <c r="AO271" s="76"/>
      <c r="AP271" s="76"/>
      <c r="AQ271" s="76"/>
      <c r="AR271" s="76"/>
      <c r="AS271" s="76"/>
      <c r="AT271" s="76"/>
      <c r="AU271" s="76"/>
      <c r="AV271" s="76"/>
      <c r="AW271" s="76"/>
      <c r="AX271" s="76"/>
    </row>
    <row r="272" spans="32:50" x14ac:dyDescent="0.25"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  <c r="AR272" s="76"/>
      <c r="AS272" s="76"/>
      <c r="AT272" s="76"/>
      <c r="AU272" s="76"/>
      <c r="AV272" s="76"/>
      <c r="AW272" s="76"/>
      <c r="AX272" s="76"/>
    </row>
    <row r="273" spans="32:50" x14ac:dyDescent="0.25">
      <c r="AF273" s="76"/>
      <c r="AG273" s="76"/>
      <c r="AH273" s="76"/>
      <c r="AI273" s="76"/>
      <c r="AJ273" s="76"/>
      <c r="AK273" s="76"/>
      <c r="AL273" s="76"/>
      <c r="AM273" s="76"/>
      <c r="AN273" s="76"/>
      <c r="AO273" s="76"/>
      <c r="AP273" s="76"/>
      <c r="AQ273" s="76"/>
      <c r="AR273" s="76"/>
      <c r="AS273" s="76"/>
      <c r="AT273" s="76"/>
      <c r="AU273" s="76"/>
      <c r="AV273" s="76"/>
      <c r="AW273" s="76"/>
      <c r="AX273" s="76"/>
    </row>
    <row r="274" spans="32:50" x14ac:dyDescent="0.25">
      <c r="AF274" s="76"/>
      <c r="AG274" s="76"/>
      <c r="AH274" s="76"/>
      <c r="AI274" s="76"/>
      <c r="AJ274" s="76"/>
      <c r="AK274" s="76"/>
      <c r="AL274" s="76"/>
      <c r="AM274" s="76"/>
      <c r="AN274" s="76"/>
      <c r="AO274" s="76"/>
      <c r="AP274" s="76"/>
      <c r="AQ274" s="76"/>
      <c r="AR274" s="76"/>
      <c r="AS274" s="76"/>
      <c r="AT274" s="76"/>
      <c r="AU274" s="76"/>
      <c r="AV274" s="76"/>
      <c r="AW274" s="76"/>
      <c r="AX274" s="76"/>
    </row>
    <row r="275" spans="32:50" x14ac:dyDescent="0.25">
      <c r="AF275" s="76"/>
      <c r="AG275" s="76"/>
      <c r="AH275" s="76"/>
      <c r="AI275" s="76"/>
      <c r="AJ275" s="76"/>
      <c r="AK275" s="76"/>
      <c r="AL275" s="76"/>
      <c r="AM275" s="76"/>
      <c r="AN275" s="76"/>
      <c r="AO275" s="76"/>
      <c r="AP275" s="76"/>
      <c r="AQ275" s="76"/>
      <c r="AR275" s="76"/>
      <c r="AS275" s="76"/>
      <c r="AT275" s="76"/>
      <c r="AU275" s="76"/>
      <c r="AV275" s="76"/>
      <c r="AW275" s="76"/>
      <c r="AX275" s="76"/>
    </row>
    <row r="276" spans="32:50" x14ac:dyDescent="0.25">
      <c r="AF276" s="76"/>
      <c r="AG276" s="76"/>
      <c r="AH276" s="76"/>
      <c r="AI276" s="76"/>
      <c r="AJ276" s="76"/>
      <c r="AK276" s="76"/>
      <c r="AL276" s="76"/>
      <c r="AM276" s="76"/>
      <c r="AN276" s="76"/>
      <c r="AO276" s="76"/>
      <c r="AP276" s="76"/>
      <c r="AQ276" s="76"/>
      <c r="AR276" s="76"/>
      <c r="AS276" s="76"/>
      <c r="AT276" s="76"/>
      <c r="AU276" s="76"/>
      <c r="AV276" s="76"/>
      <c r="AW276" s="76"/>
      <c r="AX276" s="76"/>
    </row>
    <row r="277" spans="32:50" x14ac:dyDescent="0.25">
      <c r="AF277" s="76"/>
      <c r="AG277" s="76"/>
      <c r="AH277" s="76"/>
      <c r="AI277" s="76"/>
      <c r="AJ277" s="76"/>
      <c r="AK277" s="76"/>
      <c r="AL277" s="76"/>
      <c r="AM277" s="76"/>
      <c r="AN277" s="76"/>
      <c r="AO277" s="76"/>
      <c r="AP277" s="76"/>
      <c r="AQ277" s="76"/>
      <c r="AR277" s="76"/>
      <c r="AS277" s="76"/>
      <c r="AT277" s="76"/>
      <c r="AU277" s="76"/>
      <c r="AV277" s="76"/>
      <c r="AW277" s="76"/>
      <c r="AX277" s="76"/>
    </row>
    <row r="278" spans="32:50" x14ac:dyDescent="0.25">
      <c r="AF278" s="76"/>
      <c r="AG278" s="76"/>
      <c r="AH278" s="76"/>
      <c r="AI278" s="76"/>
      <c r="AJ278" s="76"/>
      <c r="AK278" s="76"/>
      <c r="AL278" s="76"/>
      <c r="AM278" s="76"/>
      <c r="AN278" s="76"/>
      <c r="AO278" s="76"/>
      <c r="AP278" s="76"/>
      <c r="AQ278" s="76"/>
      <c r="AR278" s="76"/>
      <c r="AS278" s="76"/>
      <c r="AT278" s="76"/>
      <c r="AU278" s="76"/>
      <c r="AV278" s="76"/>
      <c r="AW278" s="76"/>
      <c r="AX278" s="76"/>
    </row>
    <row r="279" spans="32:50" x14ac:dyDescent="0.25">
      <c r="AF279" s="76"/>
      <c r="AG279" s="76"/>
      <c r="AH279" s="76"/>
      <c r="AI279" s="76"/>
      <c r="AJ279" s="76"/>
      <c r="AK279" s="76"/>
      <c r="AL279" s="76"/>
      <c r="AM279" s="76"/>
      <c r="AN279" s="76"/>
      <c r="AO279" s="76"/>
      <c r="AP279" s="76"/>
      <c r="AQ279" s="76"/>
      <c r="AR279" s="76"/>
      <c r="AS279" s="76"/>
      <c r="AT279" s="76"/>
      <c r="AU279" s="76"/>
      <c r="AV279" s="76"/>
      <c r="AW279" s="76"/>
      <c r="AX279" s="76"/>
    </row>
    <row r="280" spans="32:50" x14ac:dyDescent="0.25"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R280" s="76"/>
      <c r="AS280" s="76"/>
      <c r="AT280" s="76"/>
      <c r="AU280" s="76"/>
      <c r="AV280" s="76"/>
      <c r="AW280" s="76"/>
      <c r="AX280" s="76"/>
    </row>
    <row r="281" spans="32:50" x14ac:dyDescent="0.25"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  <c r="AV281" s="76"/>
      <c r="AW281" s="76"/>
      <c r="AX281" s="76"/>
    </row>
    <row r="282" spans="32:50" x14ac:dyDescent="0.25"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  <c r="AV282" s="76"/>
      <c r="AW282" s="76"/>
      <c r="AX282" s="76"/>
    </row>
    <row r="283" spans="32:50" x14ac:dyDescent="0.25"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6"/>
      <c r="AS283" s="76"/>
      <c r="AT283" s="76"/>
      <c r="AU283" s="76"/>
      <c r="AV283" s="76"/>
      <c r="AW283" s="76"/>
      <c r="AX283" s="76"/>
    </row>
    <row r="284" spans="32:50" x14ac:dyDescent="0.25"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76"/>
      <c r="AS284" s="76"/>
      <c r="AT284" s="76"/>
      <c r="AU284" s="76"/>
      <c r="AV284" s="76"/>
      <c r="AW284" s="76"/>
      <c r="AX284" s="76"/>
    </row>
    <row r="285" spans="32:50" x14ac:dyDescent="0.25"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  <c r="AV285" s="76"/>
      <c r="AW285" s="76"/>
      <c r="AX285" s="76"/>
    </row>
    <row r="286" spans="32:50" x14ac:dyDescent="0.25"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R286" s="76"/>
      <c r="AS286" s="76"/>
      <c r="AT286" s="76"/>
      <c r="AU286" s="76"/>
      <c r="AV286" s="76"/>
      <c r="AW286" s="76"/>
      <c r="AX286" s="76"/>
    </row>
    <row r="287" spans="32:50" x14ac:dyDescent="0.25"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</row>
    <row r="288" spans="32:50" x14ac:dyDescent="0.25"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  <c r="AP288" s="76"/>
      <c r="AQ288" s="76"/>
      <c r="AR288" s="76"/>
      <c r="AS288" s="76"/>
      <c r="AT288" s="76"/>
      <c r="AU288" s="76"/>
      <c r="AV288" s="76"/>
      <c r="AW288" s="76"/>
      <c r="AX288" s="76"/>
    </row>
    <row r="289" spans="32:50" x14ac:dyDescent="0.25"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</row>
    <row r="290" spans="32:50" x14ac:dyDescent="0.25"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</row>
    <row r="291" spans="32:50" x14ac:dyDescent="0.25">
      <c r="AF291" s="76"/>
      <c r="AG291" s="76"/>
      <c r="AH291" s="76"/>
      <c r="AI291" s="76"/>
      <c r="AJ291" s="76"/>
      <c r="AK291" s="76"/>
      <c r="AL291" s="76"/>
      <c r="AM291" s="76"/>
      <c r="AN291" s="76"/>
      <c r="AO291" s="76"/>
      <c r="AP291" s="76"/>
      <c r="AQ291" s="76"/>
      <c r="AR291" s="76"/>
      <c r="AS291" s="76"/>
      <c r="AT291" s="76"/>
      <c r="AU291" s="76"/>
      <c r="AV291" s="76"/>
      <c r="AW291" s="76"/>
      <c r="AX291" s="76"/>
    </row>
    <row r="292" spans="32:50" x14ac:dyDescent="0.25"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</row>
    <row r="293" spans="32:50" x14ac:dyDescent="0.25"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</row>
    <row r="294" spans="32:50" x14ac:dyDescent="0.25">
      <c r="AF294" s="76"/>
      <c r="AG294" s="76"/>
      <c r="AH294" s="76"/>
      <c r="AI294" s="76"/>
      <c r="AJ294" s="76"/>
      <c r="AK294" s="76"/>
      <c r="AL294" s="76"/>
      <c r="AM294" s="76"/>
      <c r="AN294" s="76"/>
      <c r="AO294" s="76"/>
      <c r="AP294" s="76"/>
      <c r="AQ294" s="76"/>
      <c r="AR294" s="76"/>
      <c r="AS294" s="76"/>
      <c r="AT294" s="76"/>
      <c r="AU294" s="76"/>
      <c r="AV294" s="76"/>
      <c r="AW294" s="76"/>
      <c r="AX294" s="76"/>
    </row>
    <row r="295" spans="32:50" x14ac:dyDescent="0.25">
      <c r="AF295" s="76"/>
      <c r="AG295" s="76"/>
      <c r="AH295" s="76"/>
      <c r="AI295" s="76"/>
      <c r="AJ295" s="76"/>
      <c r="AK295" s="76"/>
      <c r="AL295" s="76"/>
      <c r="AM295" s="76"/>
      <c r="AN295" s="76"/>
      <c r="AO295" s="76"/>
      <c r="AP295" s="76"/>
      <c r="AQ295" s="76"/>
      <c r="AR295" s="76"/>
      <c r="AS295" s="76"/>
      <c r="AT295" s="76"/>
      <c r="AU295" s="76"/>
      <c r="AV295" s="76"/>
      <c r="AW295" s="76"/>
      <c r="AX295" s="76"/>
    </row>
    <row r="296" spans="32:50" x14ac:dyDescent="0.25"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  <c r="AV296" s="76"/>
      <c r="AW296" s="76"/>
      <c r="AX296" s="76"/>
    </row>
    <row r="297" spans="32:50" x14ac:dyDescent="0.25">
      <c r="AF297" s="76"/>
      <c r="AG297" s="76"/>
      <c r="AH297" s="76"/>
      <c r="AI297" s="76"/>
      <c r="AJ297" s="76"/>
      <c r="AK297" s="76"/>
      <c r="AL297" s="76"/>
      <c r="AM297" s="76"/>
      <c r="AN297" s="76"/>
      <c r="AO297" s="76"/>
      <c r="AP297" s="76"/>
      <c r="AQ297" s="76"/>
      <c r="AR297" s="76"/>
      <c r="AS297" s="76"/>
      <c r="AT297" s="76"/>
      <c r="AU297" s="76"/>
      <c r="AV297" s="76"/>
      <c r="AW297" s="76"/>
      <c r="AX297" s="76"/>
    </row>
    <row r="298" spans="32:50" x14ac:dyDescent="0.25">
      <c r="AF298" s="76"/>
      <c r="AG298" s="76"/>
      <c r="AH298" s="76"/>
      <c r="AI298" s="76"/>
      <c r="AJ298" s="76"/>
      <c r="AK298" s="76"/>
      <c r="AL298" s="76"/>
      <c r="AM298" s="76"/>
      <c r="AN298" s="76"/>
      <c r="AO298" s="76"/>
      <c r="AP298" s="76"/>
      <c r="AQ298" s="76"/>
      <c r="AR298" s="76"/>
      <c r="AS298" s="76"/>
      <c r="AT298" s="76"/>
      <c r="AU298" s="76"/>
      <c r="AV298" s="76"/>
      <c r="AW298" s="76"/>
      <c r="AX298" s="76"/>
    </row>
    <row r="299" spans="32:50" x14ac:dyDescent="0.25">
      <c r="AF299" s="76"/>
      <c r="AG299" s="76"/>
      <c r="AH299" s="76"/>
      <c r="AI299" s="76"/>
      <c r="AJ299" s="76"/>
      <c r="AK299" s="76"/>
      <c r="AL299" s="76"/>
      <c r="AM299" s="76"/>
      <c r="AN299" s="76"/>
      <c r="AO299" s="76"/>
      <c r="AP299" s="76"/>
      <c r="AQ299" s="76"/>
      <c r="AR299" s="76"/>
      <c r="AS299" s="76"/>
      <c r="AT299" s="76"/>
      <c r="AU299" s="76"/>
      <c r="AV299" s="76"/>
      <c r="AW299" s="76"/>
      <c r="AX299" s="76"/>
    </row>
    <row r="300" spans="32:50" x14ac:dyDescent="0.25">
      <c r="AF300" s="76"/>
      <c r="AG300" s="76"/>
      <c r="AH300" s="76"/>
      <c r="AI300" s="76"/>
      <c r="AJ300" s="76"/>
      <c r="AK300" s="76"/>
      <c r="AL300" s="76"/>
      <c r="AM300" s="76"/>
      <c r="AN300" s="76"/>
      <c r="AO300" s="76"/>
      <c r="AP300" s="76"/>
      <c r="AQ300" s="76"/>
      <c r="AR300" s="76"/>
      <c r="AS300" s="76"/>
      <c r="AT300" s="76"/>
      <c r="AU300" s="76"/>
      <c r="AV300" s="76"/>
      <c r="AW300" s="76"/>
      <c r="AX300" s="76"/>
    </row>
    <row r="301" spans="32:50" x14ac:dyDescent="0.25"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  <c r="AV301" s="76"/>
      <c r="AW301" s="76"/>
      <c r="AX301" s="76"/>
    </row>
    <row r="302" spans="32:50" x14ac:dyDescent="0.25"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  <c r="AV302" s="76"/>
      <c r="AW302" s="76"/>
      <c r="AX302" s="76"/>
    </row>
    <row r="303" spans="32:50" x14ac:dyDescent="0.25">
      <c r="AF303" s="76"/>
      <c r="AG303" s="76"/>
      <c r="AH303" s="76"/>
      <c r="AI303" s="76"/>
      <c r="AJ303" s="76"/>
      <c r="AK303" s="76"/>
      <c r="AL303" s="76"/>
      <c r="AM303" s="76"/>
      <c r="AN303" s="76"/>
      <c r="AO303" s="76"/>
      <c r="AP303" s="76"/>
      <c r="AQ303" s="76"/>
      <c r="AR303" s="76"/>
      <c r="AS303" s="76"/>
      <c r="AT303" s="76"/>
      <c r="AU303" s="76"/>
      <c r="AV303" s="76"/>
      <c r="AW303" s="76"/>
      <c r="AX303" s="76"/>
    </row>
    <row r="304" spans="32:50" x14ac:dyDescent="0.25">
      <c r="AF304" s="76"/>
      <c r="AG304" s="76"/>
      <c r="AH304" s="76"/>
      <c r="AI304" s="76"/>
      <c r="AJ304" s="76"/>
      <c r="AK304" s="76"/>
      <c r="AL304" s="76"/>
      <c r="AM304" s="76"/>
      <c r="AN304" s="76"/>
      <c r="AO304" s="76"/>
      <c r="AP304" s="76"/>
      <c r="AQ304" s="76"/>
      <c r="AR304" s="76"/>
      <c r="AS304" s="76"/>
      <c r="AT304" s="76"/>
      <c r="AU304" s="76"/>
      <c r="AV304" s="76"/>
      <c r="AW304" s="76"/>
      <c r="AX304" s="76"/>
    </row>
    <row r="305" spans="32:50" x14ac:dyDescent="0.25">
      <c r="AF305" s="76"/>
      <c r="AG305" s="76"/>
      <c r="AH305" s="76"/>
      <c r="AI305" s="76"/>
      <c r="AJ305" s="76"/>
      <c r="AK305" s="76"/>
      <c r="AL305" s="76"/>
      <c r="AM305" s="76"/>
      <c r="AN305" s="76"/>
      <c r="AO305" s="76"/>
      <c r="AP305" s="76"/>
      <c r="AQ305" s="76"/>
      <c r="AR305" s="76"/>
      <c r="AS305" s="76"/>
      <c r="AT305" s="76"/>
      <c r="AU305" s="76"/>
      <c r="AV305" s="76"/>
      <c r="AW305" s="76"/>
      <c r="AX305" s="76"/>
    </row>
    <row r="306" spans="32:50" x14ac:dyDescent="0.25">
      <c r="AF306" s="76"/>
      <c r="AG306" s="76"/>
      <c r="AH306" s="76"/>
      <c r="AI306" s="76"/>
      <c r="AJ306" s="76"/>
      <c r="AK306" s="76"/>
      <c r="AL306" s="76"/>
      <c r="AM306" s="76"/>
      <c r="AN306" s="76"/>
      <c r="AO306" s="76"/>
      <c r="AP306" s="76"/>
      <c r="AQ306" s="76"/>
      <c r="AR306" s="76"/>
      <c r="AS306" s="76"/>
      <c r="AT306" s="76"/>
      <c r="AU306" s="76"/>
      <c r="AV306" s="76"/>
      <c r="AW306" s="76"/>
      <c r="AX306" s="76"/>
    </row>
    <row r="307" spans="32:50" x14ac:dyDescent="0.25">
      <c r="AF307" s="76"/>
      <c r="AG307" s="76"/>
      <c r="AH307" s="76"/>
      <c r="AI307" s="76"/>
      <c r="AJ307" s="76"/>
      <c r="AK307" s="76"/>
      <c r="AL307" s="76"/>
      <c r="AM307" s="76"/>
      <c r="AN307" s="76"/>
      <c r="AO307" s="76"/>
      <c r="AP307" s="76"/>
      <c r="AQ307" s="76"/>
      <c r="AR307" s="76"/>
      <c r="AS307" s="76"/>
      <c r="AT307" s="76"/>
      <c r="AU307" s="76"/>
      <c r="AV307" s="76"/>
      <c r="AW307" s="76"/>
      <c r="AX307" s="76"/>
    </row>
    <row r="308" spans="32:50" x14ac:dyDescent="0.25">
      <c r="AF308" s="76"/>
      <c r="AG308" s="76"/>
      <c r="AH308" s="76"/>
      <c r="AI308" s="76"/>
      <c r="AJ308" s="76"/>
      <c r="AK308" s="76"/>
      <c r="AL308" s="76"/>
      <c r="AM308" s="76"/>
      <c r="AN308" s="76"/>
      <c r="AO308" s="76"/>
      <c r="AP308" s="76"/>
      <c r="AQ308" s="76"/>
      <c r="AR308" s="76"/>
      <c r="AS308" s="76"/>
      <c r="AT308" s="76"/>
      <c r="AU308" s="76"/>
      <c r="AV308" s="76"/>
      <c r="AW308" s="76"/>
      <c r="AX308" s="76"/>
    </row>
    <row r="309" spans="32:50" x14ac:dyDescent="0.25">
      <c r="AF309" s="76"/>
      <c r="AG309" s="76"/>
      <c r="AH309" s="76"/>
      <c r="AI309" s="76"/>
      <c r="AJ309" s="76"/>
      <c r="AK309" s="76"/>
      <c r="AL309" s="76"/>
      <c r="AM309" s="76"/>
      <c r="AN309" s="76"/>
      <c r="AO309" s="76"/>
      <c r="AP309" s="76"/>
      <c r="AQ309" s="76"/>
      <c r="AR309" s="76"/>
      <c r="AS309" s="76"/>
      <c r="AT309" s="76"/>
      <c r="AU309" s="76"/>
      <c r="AV309" s="76"/>
      <c r="AW309" s="76"/>
      <c r="AX309" s="76"/>
    </row>
    <row r="310" spans="32:50" x14ac:dyDescent="0.25">
      <c r="AF310" s="76"/>
      <c r="AG310" s="76"/>
      <c r="AH310" s="76"/>
      <c r="AI310" s="76"/>
      <c r="AJ310" s="76"/>
      <c r="AK310" s="76"/>
      <c r="AL310" s="76"/>
      <c r="AM310" s="76"/>
      <c r="AN310" s="76"/>
      <c r="AO310" s="76"/>
      <c r="AP310" s="76"/>
      <c r="AQ310" s="76"/>
      <c r="AR310" s="76"/>
      <c r="AS310" s="76"/>
      <c r="AT310" s="76"/>
      <c r="AU310" s="76"/>
      <c r="AV310" s="76"/>
      <c r="AW310" s="76"/>
      <c r="AX310" s="76"/>
    </row>
    <row r="311" spans="32:50" x14ac:dyDescent="0.25">
      <c r="AF311" s="76"/>
      <c r="AG311" s="76"/>
      <c r="AH311" s="76"/>
      <c r="AI311" s="76"/>
      <c r="AJ311" s="76"/>
      <c r="AK311" s="76"/>
      <c r="AL311" s="76"/>
      <c r="AM311" s="76"/>
      <c r="AN311" s="76"/>
      <c r="AO311" s="76"/>
      <c r="AP311" s="76"/>
      <c r="AQ311" s="76"/>
      <c r="AR311" s="76"/>
      <c r="AS311" s="76"/>
      <c r="AT311" s="76"/>
      <c r="AU311" s="76"/>
      <c r="AV311" s="76"/>
      <c r="AW311" s="76"/>
      <c r="AX311" s="76"/>
    </row>
    <row r="312" spans="32:50" x14ac:dyDescent="0.25">
      <c r="AF312" s="76"/>
      <c r="AG312" s="76"/>
      <c r="AH312" s="76"/>
      <c r="AI312" s="76"/>
      <c r="AJ312" s="76"/>
      <c r="AK312" s="76"/>
      <c r="AL312" s="76"/>
      <c r="AM312" s="76"/>
      <c r="AN312" s="76"/>
      <c r="AO312" s="76"/>
      <c r="AP312" s="76"/>
      <c r="AQ312" s="76"/>
      <c r="AR312" s="76"/>
      <c r="AS312" s="76"/>
      <c r="AT312" s="76"/>
      <c r="AU312" s="76"/>
      <c r="AV312" s="76"/>
      <c r="AW312" s="76"/>
      <c r="AX312" s="76"/>
    </row>
    <row r="313" spans="32:50" x14ac:dyDescent="0.25">
      <c r="AF313" s="76"/>
      <c r="AG313" s="76"/>
      <c r="AH313" s="76"/>
      <c r="AI313" s="76"/>
      <c r="AJ313" s="76"/>
      <c r="AK313" s="76"/>
      <c r="AL313" s="76"/>
      <c r="AM313" s="76"/>
      <c r="AN313" s="76"/>
      <c r="AO313" s="76"/>
      <c r="AP313" s="76"/>
      <c r="AQ313" s="76"/>
      <c r="AR313" s="76"/>
      <c r="AS313" s="76"/>
      <c r="AT313" s="76"/>
      <c r="AU313" s="76"/>
      <c r="AV313" s="76"/>
      <c r="AW313" s="76"/>
      <c r="AX313" s="76"/>
    </row>
    <row r="314" spans="32:50" x14ac:dyDescent="0.25">
      <c r="AF314" s="76"/>
      <c r="AG314" s="76"/>
      <c r="AH314" s="76"/>
      <c r="AI314" s="76"/>
      <c r="AJ314" s="76"/>
      <c r="AK314" s="76"/>
      <c r="AL314" s="76"/>
      <c r="AM314" s="76"/>
      <c r="AN314" s="76"/>
      <c r="AO314" s="76"/>
      <c r="AP314" s="76"/>
      <c r="AQ314" s="76"/>
      <c r="AR314" s="76"/>
      <c r="AS314" s="76"/>
      <c r="AT314" s="76"/>
      <c r="AU314" s="76"/>
      <c r="AV314" s="76"/>
      <c r="AW314" s="76"/>
      <c r="AX314" s="76"/>
    </row>
    <row r="315" spans="32:50" x14ac:dyDescent="0.25">
      <c r="AF315" s="76"/>
      <c r="AG315" s="76"/>
      <c r="AH315" s="76"/>
      <c r="AI315" s="76"/>
      <c r="AJ315" s="76"/>
      <c r="AK315" s="76"/>
      <c r="AL315" s="76"/>
      <c r="AM315" s="76"/>
      <c r="AN315" s="76"/>
      <c r="AO315" s="76"/>
      <c r="AP315" s="76"/>
      <c r="AQ315" s="76"/>
      <c r="AR315" s="76"/>
      <c r="AS315" s="76"/>
      <c r="AT315" s="76"/>
      <c r="AU315" s="76"/>
      <c r="AV315" s="76"/>
      <c r="AW315" s="76"/>
      <c r="AX315" s="76"/>
    </row>
    <row r="316" spans="32:50" x14ac:dyDescent="0.25">
      <c r="AF316" s="76"/>
      <c r="AG316" s="76"/>
      <c r="AH316" s="76"/>
      <c r="AI316" s="76"/>
      <c r="AJ316" s="76"/>
      <c r="AK316" s="76"/>
      <c r="AL316" s="76"/>
      <c r="AM316" s="76"/>
      <c r="AN316" s="76"/>
      <c r="AO316" s="76"/>
      <c r="AP316" s="76"/>
      <c r="AQ316" s="76"/>
      <c r="AR316" s="76"/>
      <c r="AS316" s="76"/>
      <c r="AT316" s="76"/>
      <c r="AU316" s="76"/>
      <c r="AV316" s="76"/>
      <c r="AW316" s="76"/>
      <c r="AX316" s="76"/>
    </row>
  </sheetData>
  <autoFilter ref="A8:BB75">
    <filterColumn colId="23">
      <filters>
        <filter val="COORPORATIVO"/>
      </filters>
    </filterColumn>
    <filterColumn colId="50" showButton="0"/>
  </autoFilter>
  <sortState ref="A40:P41">
    <sortCondition ref="B40:B41"/>
  </sortState>
  <mergeCells count="29">
    <mergeCell ref="X70:Y70"/>
    <mergeCell ref="AY8:AZ8"/>
    <mergeCell ref="BA8:BA9"/>
    <mergeCell ref="R7:W7"/>
    <mergeCell ref="AT8:AT9"/>
    <mergeCell ref="AU8:AU9"/>
    <mergeCell ref="AV8:AV9"/>
    <mergeCell ref="AW8:AW9"/>
    <mergeCell ref="AX8:AX9"/>
    <mergeCell ref="AO8:AO9"/>
    <mergeCell ref="AP8:AP9"/>
    <mergeCell ref="AQ8:AQ9"/>
    <mergeCell ref="AR8:AR9"/>
    <mergeCell ref="AS8:AS9"/>
    <mergeCell ref="AJ8:AJ9"/>
    <mergeCell ref="AK8:AK9"/>
    <mergeCell ref="AL8:AL9"/>
    <mergeCell ref="AM8:AM9"/>
    <mergeCell ref="AN8:AN9"/>
    <mergeCell ref="AA8:AA9"/>
    <mergeCell ref="AB8:AB9"/>
    <mergeCell ref="AC8:AC9"/>
    <mergeCell ref="AF8:AF9"/>
    <mergeCell ref="AI8:AI9"/>
    <mergeCell ref="B1:C1"/>
    <mergeCell ref="B3:C3"/>
    <mergeCell ref="X8:X9"/>
    <mergeCell ref="Y8:Y9"/>
    <mergeCell ref="Z8:Z9"/>
  </mergeCells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82"/>
  <sheetViews>
    <sheetView workbookViewId="0">
      <pane xSplit="2" ySplit="9" topLeftCell="C12" activePane="bottomRight" state="frozen"/>
      <selection activeCell="BD66" sqref="A1:BD66"/>
      <selection pane="topRight" activeCell="BD66" sqref="A1:BD66"/>
      <selection pane="bottomLeft" activeCell="BD66" sqref="A1:BD66"/>
      <selection pane="bottomRight" activeCell="BD66" sqref="A1:BD66"/>
    </sheetView>
  </sheetViews>
  <sheetFormatPr baseColWidth="10" defaultRowHeight="15" x14ac:dyDescent="0.25"/>
  <cols>
    <col min="1" max="1" width="11.42578125" style="76"/>
    <col min="2" max="2" width="26" style="76" customWidth="1"/>
    <col min="3" max="5" width="11.42578125" style="76"/>
    <col min="6" max="10" width="0" style="76" hidden="1" customWidth="1"/>
    <col min="11" max="11" width="31.140625" style="76" hidden="1" customWidth="1"/>
    <col min="12" max="16" width="0" style="84" hidden="1" customWidth="1"/>
    <col min="17" max="24" width="11.42578125" style="84"/>
    <col min="25" max="54" width="11.42578125" style="84" hidden="1" customWidth="1"/>
    <col min="55" max="55" width="11.42578125" style="75"/>
    <col min="56" max="16384" width="11.42578125" style="84"/>
  </cols>
  <sheetData>
    <row r="1" spans="1:55" ht="18" customHeight="1" x14ac:dyDescent="0.25">
      <c r="A1" s="165" t="s">
        <v>0</v>
      </c>
      <c r="B1" s="166" t="s">
        <v>120</v>
      </c>
      <c r="C1" s="86"/>
      <c r="D1" s="84"/>
      <c r="E1" s="84"/>
      <c r="F1" s="84"/>
      <c r="G1" s="84"/>
      <c r="H1" s="84"/>
    </row>
    <row r="2" spans="1:55" ht="24.95" customHeight="1" x14ac:dyDescent="0.25">
      <c r="A2" s="167" t="s">
        <v>1</v>
      </c>
      <c r="B2" s="185" t="s">
        <v>2</v>
      </c>
      <c r="C2" s="85"/>
      <c r="D2" s="84"/>
      <c r="E2" s="84"/>
      <c r="F2" s="84"/>
      <c r="G2" s="84"/>
      <c r="H2" s="84"/>
    </row>
    <row r="3" spans="1:55" x14ac:dyDescent="0.25">
      <c r="A3" s="84"/>
      <c r="B3" s="186" t="s">
        <v>3</v>
      </c>
      <c r="C3" s="86"/>
      <c r="D3" s="84"/>
      <c r="E3" s="84"/>
      <c r="F3" s="84"/>
      <c r="G3" s="84"/>
      <c r="H3" s="84"/>
    </row>
    <row r="4" spans="1:55" x14ac:dyDescent="0.25">
      <c r="A4" s="84"/>
      <c r="B4" s="186" t="str">
        <f>+FACTURACIÓN!B4</f>
        <v>Periodo 5 al 5 Quincenal del 01/03/2016 al 15/03/2016</v>
      </c>
      <c r="C4" s="86"/>
      <c r="D4" s="84"/>
      <c r="E4" s="84"/>
      <c r="F4" s="84"/>
      <c r="G4" s="84"/>
      <c r="H4" s="84"/>
    </row>
    <row r="5" spans="1:55" x14ac:dyDescent="0.25">
      <c r="A5" s="84"/>
      <c r="B5" s="169" t="s">
        <v>4</v>
      </c>
      <c r="C5" s="84"/>
      <c r="D5" s="84"/>
      <c r="E5" s="84"/>
      <c r="F5" s="84"/>
      <c r="G5" s="84"/>
      <c r="H5" s="84">
        <f>+C20/73.04</f>
        <v>14.999999999999998</v>
      </c>
    </row>
    <row r="6" spans="1:55" x14ac:dyDescent="0.25">
      <c r="A6" s="84"/>
      <c r="B6" s="169" t="s">
        <v>5</v>
      </c>
      <c r="C6" s="84"/>
      <c r="D6" s="84"/>
      <c r="E6" s="84"/>
      <c r="F6" s="84"/>
      <c r="G6" s="84"/>
      <c r="H6" s="84"/>
    </row>
    <row r="8" spans="1:55" s="186" customFormat="1" x14ac:dyDescent="0.25">
      <c r="BC8" s="187"/>
    </row>
    <row r="9" spans="1:55" ht="45.75" thickBot="1" x14ac:dyDescent="0.3">
      <c r="A9" s="188" t="s">
        <v>6</v>
      </c>
      <c r="B9" s="189" t="s">
        <v>7</v>
      </c>
      <c r="C9" s="189" t="s">
        <v>8</v>
      </c>
      <c r="D9" s="190" t="s">
        <v>9</v>
      </c>
      <c r="E9" s="189" t="s">
        <v>10</v>
      </c>
      <c r="F9" s="189" t="s">
        <v>11</v>
      </c>
      <c r="G9" s="190" t="s">
        <v>12</v>
      </c>
      <c r="H9" s="191" t="s">
        <v>13</v>
      </c>
      <c r="I9" s="105"/>
      <c r="J9" s="105"/>
      <c r="K9" s="105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</row>
    <row r="10" spans="1:55" ht="15.75" thickTop="1" x14ac:dyDescent="0.25">
      <c r="A10" s="174" t="s">
        <v>14</v>
      </c>
      <c r="B10" s="84" t="s">
        <v>15</v>
      </c>
      <c r="C10" s="175">
        <v>1095.5999999999999</v>
      </c>
      <c r="D10" s="175">
        <f>SUM(C10)</f>
        <v>1095.5999999999999</v>
      </c>
      <c r="E10" s="180">
        <v>-141.59</v>
      </c>
      <c r="F10" s="180">
        <v>-0.01</v>
      </c>
      <c r="G10" s="175">
        <f>SUM(E10:F10)</f>
        <v>-141.6</v>
      </c>
      <c r="H10" s="175">
        <f>+D10-G10</f>
        <v>1237.1999999999998</v>
      </c>
      <c r="I10" s="80"/>
      <c r="J10" s="117" t="s">
        <v>14</v>
      </c>
      <c r="K10" s="80" t="s">
        <v>15</v>
      </c>
      <c r="BC10" s="192" t="s">
        <v>314</v>
      </c>
    </row>
    <row r="11" spans="1:55" x14ac:dyDescent="0.25">
      <c r="A11" s="174" t="s">
        <v>16</v>
      </c>
      <c r="B11" s="84" t="s">
        <v>17</v>
      </c>
      <c r="C11" s="175">
        <v>1095.5999999999999</v>
      </c>
      <c r="D11" s="175">
        <f t="shared" ref="D11:D65" si="0">SUM(C11)</f>
        <v>1095.5999999999999</v>
      </c>
      <c r="E11" s="180">
        <v>-141.59</v>
      </c>
      <c r="F11" s="180">
        <v>-0.01</v>
      </c>
      <c r="G11" s="175">
        <f t="shared" ref="G11:G65" si="1">SUM(E11:F11)</f>
        <v>-141.6</v>
      </c>
      <c r="H11" s="175">
        <f t="shared" ref="H11:H65" si="2">+D11-G11</f>
        <v>1237.1999999999998</v>
      </c>
      <c r="I11" s="80"/>
      <c r="J11" s="117" t="s">
        <v>16</v>
      </c>
      <c r="K11" s="80" t="s">
        <v>17</v>
      </c>
      <c r="BC11" s="192" t="s">
        <v>311</v>
      </c>
    </row>
    <row r="12" spans="1:55" x14ac:dyDescent="0.25">
      <c r="A12" s="174" t="s">
        <v>18</v>
      </c>
      <c r="B12" s="84" t="s">
        <v>19</v>
      </c>
      <c r="C12" s="175">
        <v>1095.5999999999999</v>
      </c>
      <c r="D12" s="175">
        <f t="shared" si="0"/>
        <v>1095.5999999999999</v>
      </c>
      <c r="E12" s="180">
        <v>-141.59</v>
      </c>
      <c r="F12" s="180">
        <v>-0.01</v>
      </c>
      <c r="G12" s="175">
        <f t="shared" si="1"/>
        <v>-141.6</v>
      </c>
      <c r="H12" s="175">
        <f t="shared" si="2"/>
        <v>1237.1999999999998</v>
      </c>
      <c r="I12" s="80"/>
      <c r="J12" s="117" t="s">
        <v>18</v>
      </c>
      <c r="K12" s="80" t="s">
        <v>19</v>
      </c>
      <c r="BC12" s="192" t="s">
        <v>311</v>
      </c>
    </row>
    <row r="13" spans="1:55" x14ac:dyDescent="0.25">
      <c r="A13" s="174" t="s">
        <v>20</v>
      </c>
      <c r="B13" s="84" t="s">
        <v>21</v>
      </c>
      <c r="C13" s="175">
        <v>1095.5999999999999</v>
      </c>
      <c r="D13" s="175">
        <f t="shared" si="0"/>
        <v>1095.5999999999999</v>
      </c>
      <c r="E13" s="180">
        <v>-141.59</v>
      </c>
      <c r="F13" s="180">
        <v>-0.01</v>
      </c>
      <c r="G13" s="175">
        <f t="shared" si="1"/>
        <v>-141.6</v>
      </c>
      <c r="H13" s="175">
        <f t="shared" si="2"/>
        <v>1237.1999999999998</v>
      </c>
      <c r="I13" s="80"/>
      <c r="J13" s="117" t="s">
        <v>20</v>
      </c>
      <c r="K13" s="80" t="s">
        <v>21</v>
      </c>
      <c r="BC13" s="192" t="s">
        <v>312</v>
      </c>
    </row>
    <row r="14" spans="1:55" x14ac:dyDescent="0.25">
      <c r="A14" s="174" t="s">
        <v>22</v>
      </c>
      <c r="B14" s="84" t="s">
        <v>23</v>
      </c>
      <c r="C14" s="175">
        <v>1095.5999999999999</v>
      </c>
      <c r="D14" s="175">
        <f t="shared" si="0"/>
        <v>1095.5999999999999</v>
      </c>
      <c r="E14" s="180">
        <v>-141.59</v>
      </c>
      <c r="F14" s="180">
        <v>-0.01</v>
      </c>
      <c r="G14" s="175">
        <f t="shared" si="1"/>
        <v>-141.6</v>
      </c>
      <c r="H14" s="175">
        <f t="shared" si="2"/>
        <v>1237.1999999999998</v>
      </c>
      <c r="I14" s="80"/>
      <c r="J14" s="117" t="s">
        <v>22</v>
      </c>
      <c r="K14" s="80" t="s">
        <v>23</v>
      </c>
      <c r="BC14" s="192" t="s">
        <v>312</v>
      </c>
    </row>
    <row r="15" spans="1:55" x14ac:dyDescent="0.25">
      <c r="A15" s="174" t="s">
        <v>24</v>
      </c>
      <c r="B15" s="84" t="s">
        <v>25</v>
      </c>
      <c r="C15" s="175">
        <v>1095.5999999999999</v>
      </c>
      <c r="D15" s="175">
        <f t="shared" si="0"/>
        <v>1095.5999999999999</v>
      </c>
      <c r="E15" s="180">
        <v>-141.59</v>
      </c>
      <c r="F15" s="180">
        <v>-0.01</v>
      </c>
      <c r="G15" s="175">
        <f t="shared" si="1"/>
        <v>-141.6</v>
      </c>
      <c r="H15" s="175">
        <f t="shared" si="2"/>
        <v>1237.1999999999998</v>
      </c>
      <c r="I15" s="80"/>
      <c r="J15" s="117" t="s">
        <v>24</v>
      </c>
      <c r="K15" s="80" t="s">
        <v>25</v>
      </c>
      <c r="BC15" s="192" t="s">
        <v>313</v>
      </c>
    </row>
    <row r="16" spans="1:55" x14ac:dyDescent="0.25">
      <c r="A16" s="174" t="s">
        <v>26</v>
      </c>
      <c r="B16" s="84" t="s">
        <v>27</v>
      </c>
      <c r="C16" s="175">
        <v>1095.5999999999999</v>
      </c>
      <c r="D16" s="175">
        <f t="shared" si="0"/>
        <v>1095.5999999999999</v>
      </c>
      <c r="E16" s="180">
        <v>-141.59</v>
      </c>
      <c r="F16" s="180">
        <v>-0.01</v>
      </c>
      <c r="G16" s="175">
        <f t="shared" si="1"/>
        <v>-141.6</v>
      </c>
      <c r="H16" s="175">
        <f t="shared" si="2"/>
        <v>1237.1999999999998</v>
      </c>
      <c r="I16" s="80"/>
      <c r="J16" s="117" t="s">
        <v>26</v>
      </c>
      <c r="K16" s="80" t="s">
        <v>27</v>
      </c>
      <c r="BC16" s="192" t="s">
        <v>313</v>
      </c>
    </row>
    <row r="17" spans="1:56" x14ac:dyDescent="0.25">
      <c r="A17" s="174" t="s">
        <v>28</v>
      </c>
      <c r="B17" s="84" t="s">
        <v>29</v>
      </c>
      <c r="C17" s="175">
        <v>1095.5999999999999</v>
      </c>
      <c r="D17" s="175">
        <f t="shared" si="0"/>
        <v>1095.5999999999999</v>
      </c>
      <c r="E17" s="180">
        <v>-141.59</v>
      </c>
      <c r="F17" s="180">
        <v>0.11</v>
      </c>
      <c r="G17" s="175">
        <f t="shared" si="1"/>
        <v>-141.47999999999999</v>
      </c>
      <c r="H17" s="175">
        <f t="shared" si="2"/>
        <v>1237.08</v>
      </c>
      <c r="I17" s="80"/>
      <c r="J17" s="117" t="s">
        <v>28</v>
      </c>
      <c r="K17" s="80" t="s">
        <v>29</v>
      </c>
      <c r="BC17" s="192" t="s">
        <v>312</v>
      </c>
    </row>
    <row r="18" spans="1:56" x14ac:dyDescent="0.25">
      <c r="A18" s="174" t="s">
        <v>32</v>
      </c>
      <c r="B18" s="84" t="s">
        <v>33</v>
      </c>
      <c r="C18" s="175">
        <v>1095.5999999999999</v>
      </c>
      <c r="D18" s="175">
        <f t="shared" si="0"/>
        <v>1095.5999999999999</v>
      </c>
      <c r="E18" s="180">
        <v>-141.59</v>
      </c>
      <c r="F18" s="175">
        <v>0.19</v>
      </c>
      <c r="G18" s="175">
        <f t="shared" si="1"/>
        <v>-141.4</v>
      </c>
      <c r="H18" s="175">
        <f t="shared" si="2"/>
        <v>1237</v>
      </c>
      <c r="I18" s="80"/>
      <c r="J18" s="117" t="s">
        <v>32</v>
      </c>
      <c r="K18" s="80" t="s">
        <v>33</v>
      </c>
      <c r="BC18" s="192" t="s">
        <v>311</v>
      </c>
    </row>
    <row r="19" spans="1:56" x14ac:dyDescent="0.25">
      <c r="A19" s="174" t="s">
        <v>34</v>
      </c>
      <c r="B19" s="84" t="s">
        <v>35</v>
      </c>
      <c r="C19" s="175">
        <v>1095.5999999999999</v>
      </c>
      <c r="D19" s="175">
        <f t="shared" si="0"/>
        <v>1095.5999999999999</v>
      </c>
      <c r="E19" s="180">
        <v>-141.59</v>
      </c>
      <c r="F19" s="180">
        <v>-0.01</v>
      </c>
      <c r="G19" s="175">
        <f t="shared" si="1"/>
        <v>-141.6</v>
      </c>
      <c r="H19" s="175">
        <f t="shared" si="2"/>
        <v>1237.1999999999998</v>
      </c>
      <c r="I19" s="80"/>
      <c r="J19" s="117" t="s">
        <v>34</v>
      </c>
      <c r="K19" s="80" t="s">
        <v>35</v>
      </c>
      <c r="BC19" s="192" t="s">
        <v>311</v>
      </c>
    </row>
    <row r="20" spans="1:56" x14ac:dyDescent="0.25">
      <c r="A20" s="174" t="s">
        <v>36</v>
      </c>
      <c r="B20" s="84" t="s">
        <v>37</v>
      </c>
      <c r="C20" s="175">
        <v>1095.5999999999999</v>
      </c>
      <c r="D20" s="175">
        <f t="shared" si="0"/>
        <v>1095.5999999999999</v>
      </c>
      <c r="E20" s="180">
        <v>-141.59</v>
      </c>
      <c r="F20" s="180">
        <v>-0.09</v>
      </c>
      <c r="G20" s="175">
        <f t="shared" si="1"/>
        <v>-141.68</v>
      </c>
      <c r="H20" s="175">
        <f t="shared" si="2"/>
        <v>1237.28</v>
      </c>
      <c r="I20" s="80"/>
      <c r="J20" s="117" t="s">
        <v>36</v>
      </c>
      <c r="K20" s="80" t="s">
        <v>37</v>
      </c>
      <c r="BC20" s="192" t="s">
        <v>311</v>
      </c>
    </row>
    <row r="21" spans="1:56" x14ac:dyDescent="0.25">
      <c r="A21" s="174" t="s">
        <v>38</v>
      </c>
      <c r="B21" s="84" t="s">
        <v>39</v>
      </c>
      <c r="C21" s="175">
        <v>1095.5999999999999</v>
      </c>
      <c r="D21" s="175">
        <f t="shared" si="0"/>
        <v>1095.5999999999999</v>
      </c>
      <c r="E21" s="180">
        <v>-141.59</v>
      </c>
      <c r="F21" s="180">
        <v>-0.01</v>
      </c>
      <c r="G21" s="175">
        <f t="shared" si="1"/>
        <v>-141.6</v>
      </c>
      <c r="H21" s="175">
        <f t="shared" si="2"/>
        <v>1237.1999999999998</v>
      </c>
      <c r="I21" s="80"/>
      <c r="J21" s="117" t="s">
        <v>38</v>
      </c>
      <c r="K21" s="80" t="s">
        <v>39</v>
      </c>
      <c r="BC21" s="192" t="s">
        <v>312</v>
      </c>
    </row>
    <row r="22" spans="1:56" x14ac:dyDescent="0.25">
      <c r="A22" s="174" t="s">
        <v>40</v>
      </c>
      <c r="B22" s="84" t="s">
        <v>41</v>
      </c>
      <c r="C22" s="175">
        <v>1095.5999999999999</v>
      </c>
      <c r="D22" s="175">
        <f t="shared" si="0"/>
        <v>1095.5999999999999</v>
      </c>
      <c r="E22" s="180">
        <v>-141.59</v>
      </c>
      <c r="F22" s="180">
        <v>-0.01</v>
      </c>
      <c r="G22" s="175">
        <f t="shared" si="1"/>
        <v>-141.6</v>
      </c>
      <c r="H22" s="175">
        <f t="shared" si="2"/>
        <v>1237.1999999999998</v>
      </c>
      <c r="I22" s="80"/>
      <c r="J22" s="117" t="s">
        <v>40</v>
      </c>
      <c r="K22" s="80" t="s">
        <v>41</v>
      </c>
      <c r="BC22" s="192" t="s">
        <v>311</v>
      </c>
    </row>
    <row r="23" spans="1:56" x14ac:dyDescent="0.25">
      <c r="A23" s="174"/>
      <c r="B23" s="121" t="s">
        <v>293</v>
      </c>
      <c r="C23" s="175">
        <v>1095.5999999999999</v>
      </c>
      <c r="D23" s="175">
        <f t="shared" si="0"/>
        <v>1095.5999999999999</v>
      </c>
      <c r="E23" s="180">
        <v>-141.59</v>
      </c>
      <c r="F23" s="180">
        <v>-0.01</v>
      </c>
      <c r="G23" s="175">
        <f t="shared" si="1"/>
        <v>-141.6</v>
      </c>
      <c r="H23" s="175">
        <f t="shared" si="2"/>
        <v>1237.1999999999998</v>
      </c>
      <c r="I23" s="80"/>
      <c r="J23" s="117"/>
      <c r="K23" s="121" t="s">
        <v>293</v>
      </c>
      <c r="BC23" s="192" t="s">
        <v>314</v>
      </c>
    </row>
    <row r="24" spans="1:56" x14ac:dyDescent="0.25">
      <c r="A24" s="174" t="s">
        <v>42</v>
      </c>
      <c r="B24" s="84" t="s">
        <v>43</v>
      </c>
      <c r="C24" s="175">
        <v>1095.5999999999999</v>
      </c>
      <c r="D24" s="175">
        <f t="shared" si="0"/>
        <v>1095.5999999999999</v>
      </c>
      <c r="E24" s="180">
        <v>-141.59</v>
      </c>
      <c r="F24" s="180">
        <v>-0.01</v>
      </c>
      <c r="G24" s="175">
        <f t="shared" si="1"/>
        <v>-141.6</v>
      </c>
      <c r="H24" s="175">
        <f t="shared" si="2"/>
        <v>1237.1999999999998</v>
      </c>
      <c r="I24" s="80"/>
      <c r="J24" s="117" t="s">
        <v>42</v>
      </c>
      <c r="K24" s="80" t="s">
        <v>43</v>
      </c>
      <c r="BC24" s="192" t="s">
        <v>313</v>
      </c>
    </row>
    <row r="25" spans="1:56" x14ac:dyDescent="0.25">
      <c r="A25" s="174" t="s">
        <v>44</v>
      </c>
      <c r="B25" s="84" t="s">
        <v>45</v>
      </c>
      <c r="C25" s="175">
        <v>1095.5999999999999</v>
      </c>
      <c r="D25" s="175">
        <f t="shared" si="0"/>
        <v>1095.5999999999999</v>
      </c>
      <c r="E25" s="180">
        <v>-141.59</v>
      </c>
      <c r="F25" s="180">
        <v>-0.01</v>
      </c>
      <c r="G25" s="175">
        <f t="shared" si="1"/>
        <v>-141.6</v>
      </c>
      <c r="H25" s="175">
        <f t="shared" si="2"/>
        <v>1237.1999999999998</v>
      </c>
      <c r="I25" s="80"/>
      <c r="J25" s="117" t="s">
        <v>44</v>
      </c>
      <c r="K25" s="80" t="s">
        <v>45</v>
      </c>
      <c r="BC25" s="192" t="s">
        <v>314</v>
      </c>
    </row>
    <row r="26" spans="1:56" x14ac:dyDescent="0.25">
      <c r="A26" s="174" t="s">
        <v>159</v>
      </c>
      <c r="B26" s="84" t="s">
        <v>154</v>
      </c>
      <c r="C26" s="175">
        <v>1095.5999999999999</v>
      </c>
      <c r="D26" s="175">
        <f t="shared" si="0"/>
        <v>1095.5999999999999</v>
      </c>
      <c r="E26" s="180">
        <v>-141.59</v>
      </c>
      <c r="F26" s="180">
        <v>-0.01</v>
      </c>
      <c r="G26" s="175">
        <f t="shared" si="1"/>
        <v>-141.6</v>
      </c>
      <c r="H26" s="175">
        <f t="shared" si="2"/>
        <v>1237.1999999999998</v>
      </c>
      <c r="I26" s="80"/>
      <c r="J26" s="131" t="s">
        <v>159</v>
      </c>
      <c r="K26" s="80" t="s">
        <v>154</v>
      </c>
      <c r="BC26" s="192" t="s">
        <v>313</v>
      </c>
    </row>
    <row r="27" spans="1:56" s="178" customFormat="1" x14ac:dyDescent="0.25">
      <c r="A27" s="131" t="s">
        <v>46</v>
      </c>
      <c r="B27" s="178" t="s">
        <v>47</v>
      </c>
      <c r="C27" s="197">
        <v>0</v>
      </c>
      <c r="D27" s="197">
        <f t="shared" si="0"/>
        <v>0</v>
      </c>
      <c r="E27" s="198">
        <v>0</v>
      </c>
      <c r="F27" s="198">
        <v>0</v>
      </c>
      <c r="G27" s="197">
        <f t="shared" si="1"/>
        <v>0</v>
      </c>
      <c r="H27" s="197">
        <f t="shared" si="2"/>
        <v>0</v>
      </c>
      <c r="I27" s="80"/>
      <c r="J27" s="117" t="s">
        <v>46</v>
      </c>
      <c r="K27" s="80" t="s">
        <v>47</v>
      </c>
      <c r="R27" s="199"/>
      <c r="S27" s="199"/>
      <c r="T27" s="199"/>
      <c r="U27" s="199"/>
      <c r="V27" s="199"/>
      <c r="W27" s="199"/>
      <c r="BC27" s="194" t="s">
        <v>314</v>
      </c>
      <c r="BD27" s="178" t="s">
        <v>268</v>
      </c>
    </row>
    <row r="28" spans="1:56" x14ac:dyDescent="0.25">
      <c r="A28" s="174" t="s">
        <v>48</v>
      </c>
      <c r="B28" s="84" t="s">
        <v>49</v>
      </c>
      <c r="C28" s="175">
        <v>1095.5999999999999</v>
      </c>
      <c r="D28" s="175">
        <f t="shared" si="0"/>
        <v>1095.5999999999999</v>
      </c>
      <c r="E28" s="180">
        <v>-141.59</v>
      </c>
      <c r="F28" s="180">
        <v>-0.01</v>
      </c>
      <c r="G28" s="175">
        <f t="shared" si="1"/>
        <v>-141.6</v>
      </c>
      <c r="H28" s="175">
        <f t="shared" si="2"/>
        <v>1237.1999999999998</v>
      </c>
      <c r="I28" s="80"/>
      <c r="J28" s="117" t="s">
        <v>48</v>
      </c>
      <c r="K28" s="80" t="s">
        <v>49</v>
      </c>
      <c r="BC28" s="192" t="s">
        <v>312</v>
      </c>
    </row>
    <row r="29" spans="1:56" x14ac:dyDescent="0.25">
      <c r="A29" s="174" t="s">
        <v>50</v>
      </c>
      <c r="B29" s="84" t="s">
        <v>51</v>
      </c>
      <c r="C29" s="175">
        <v>1095.5999999999999</v>
      </c>
      <c r="D29" s="175">
        <f t="shared" si="0"/>
        <v>1095.5999999999999</v>
      </c>
      <c r="E29" s="180">
        <v>-141.59</v>
      </c>
      <c r="F29" s="180">
        <v>-0.01</v>
      </c>
      <c r="G29" s="175">
        <f t="shared" si="1"/>
        <v>-141.6</v>
      </c>
      <c r="H29" s="175">
        <f t="shared" si="2"/>
        <v>1237.1999999999998</v>
      </c>
      <c r="I29" s="80"/>
      <c r="J29" s="117" t="s">
        <v>50</v>
      </c>
      <c r="K29" s="80" t="s">
        <v>51</v>
      </c>
      <c r="BC29" s="192" t="s">
        <v>313</v>
      </c>
    </row>
    <row r="30" spans="1:56" x14ac:dyDescent="0.25">
      <c r="A30" s="174" t="s">
        <v>52</v>
      </c>
      <c r="B30" s="84" t="s">
        <v>53</v>
      </c>
      <c r="C30" s="175">
        <v>1095.5999999999999</v>
      </c>
      <c r="D30" s="175">
        <f t="shared" si="0"/>
        <v>1095.5999999999999</v>
      </c>
      <c r="E30" s="180">
        <v>-141.59</v>
      </c>
      <c r="F30" s="180">
        <v>-0.01</v>
      </c>
      <c r="G30" s="175">
        <f t="shared" si="1"/>
        <v>-141.6</v>
      </c>
      <c r="H30" s="175">
        <f t="shared" si="2"/>
        <v>1237.1999999999998</v>
      </c>
      <c r="I30" s="80"/>
      <c r="J30" s="117" t="s">
        <v>52</v>
      </c>
      <c r="K30" s="80" t="s">
        <v>53</v>
      </c>
      <c r="BC30" s="192" t="s">
        <v>311</v>
      </c>
    </row>
    <row r="31" spans="1:56" x14ac:dyDescent="0.25">
      <c r="A31" s="174" t="s">
        <v>54</v>
      </c>
      <c r="B31" s="84" t="s">
        <v>55</v>
      </c>
      <c r="C31" s="175">
        <v>1095.5999999999999</v>
      </c>
      <c r="D31" s="175">
        <f t="shared" si="0"/>
        <v>1095.5999999999999</v>
      </c>
      <c r="E31" s="180">
        <v>-141.59</v>
      </c>
      <c r="F31" s="180">
        <v>-0.01</v>
      </c>
      <c r="G31" s="175">
        <f t="shared" si="1"/>
        <v>-141.6</v>
      </c>
      <c r="H31" s="175">
        <f t="shared" si="2"/>
        <v>1237.1999999999998</v>
      </c>
      <c r="I31" s="80"/>
      <c r="J31" s="117" t="s">
        <v>54</v>
      </c>
      <c r="K31" s="80" t="s">
        <v>55</v>
      </c>
      <c r="BC31" s="192" t="s">
        <v>314</v>
      </c>
    </row>
    <row r="32" spans="1:56" x14ac:dyDescent="0.25">
      <c r="A32" s="174" t="s">
        <v>160</v>
      </c>
      <c r="B32" s="84" t="s">
        <v>161</v>
      </c>
      <c r="C32" s="175">
        <v>1095.5999999999999</v>
      </c>
      <c r="D32" s="175">
        <f t="shared" si="0"/>
        <v>1095.5999999999999</v>
      </c>
      <c r="E32" s="180">
        <v>-141.59</v>
      </c>
      <c r="F32" s="180">
        <v>-0.01</v>
      </c>
      <c r="G32" s="175">
        <f t="shared" si="1"/>
        <v>-141.6</v>
      </c>
      <c r="H32" s="175">
        <f t="shared" si="2"/>
        <v>1237.1999999999998</v>
      </c>
      <c r="I32" s="80"/>
      <c r="J32" s="131" t="s">
        <v>160</v>
      </c>
      <c r="K32" s="80" t="s">
        <v>158</v>
      </c>
      <c r="BC32" s="192" t="s">
        <v>311</v>
      </c>
    </row>
    <row r="33" spans="1:55" x14ac:dyDescent="0.25">
      <c r="A33" s="174" t="s">
        <v>56</v>
      </c>
      <c r="B33" s="84" t="s">
        <v>57</v>
      </c>
      <c r="C33" s="175">
        <v>1095.5999999999999</v>
      </c>
      <c r="D33" s="175">
        <f t="shared" si="0"/>
        <v>1095.5999999999999</v>
      </c>
      <c r="E33" s="180">
        <v>-141.59</v>
      </c>
      <c r="F33" s="180">
        <v>-0.01</v>
      </c>
      <c r="G33" s="175">
        <f t="shared" si="1"/>
        <v>-141.6</v>
      </c>
      <c r="H33" s="175">
        <f t="shared" si="2"/>
        <v>1237.1999999999998</v>
      </c>
      <c r="I33" s="80"/>
      <c r="J33" s="117" t="s">
        <v>56</v>
      </c>
      <c r="K33" s="80" t="s">
        <v>57</v>
      </c>
      <c r="BC33" s="192" t="s">
        <v>312</v>
      </c>
    </row>
    <row r="34" spans="1:55" x14ac:dyDescent="0.25">
      <c r="A34" s="174" t="s">
        <v>58</v>
      </c>
      <c r="B34" s="84" t="s">
        <v>59</v>
      </c>
      <c r="C34" s="175">
        <v>1095.5999999999999</v>
      </c>
      <c r="D34" s="175">
        <f t="shared" si="0"/>
        <v>1095.5999999999999</v>
      </c>
      <c r="E34" s="180">
        <v>-141.59</v>
      </c>
      <c r="F34" s="180">
        <v>-0.01</v>
      </c>
      <c r="G34" s="175">
        <f t="shared" si="1"/>
        <v>-141.6</v>
      </c>
      <c r="H34" s="175">
        <f t="shared" si="2"/>
        <v>1237.1999999999998</v>
      </c>
      <c r="I34" s="80"/>
      <c r="J34" s="117" t="s">
        <v>58</v>
      </c>
      <c r="K34" s="80" t="s">
        <v>59</v>
      </c>
      <c r="BC34" s="192" t="s">
        <v>311</v>
      </c>
    </row>
    <row r="35" spans="1:55" x14ac:dyDescent="0.25">
      <c r="A35" s="174" t="s">
        <v>60</v>
      </c>
      <c r="B35" s="84" t="s">
        <v>61</v>
      </c>
      <c r="C35" s="175">
        <v>1095.5999999999999</v>
      </c>
      <c r="D35" s="175">
        <f t="shared" si="0"/>
        <v>1095.5999999999999</v>
      </c>
      <c r="E35" s="180">
        <v>-141.59</v>
      </c>
      <c r="F35" s="180">
        <v>-0.01</v>
      </c>
      <c r="G35" s="175">
        <f t="shared" si="1"/>
        <v>-141.6</v>
      </c>
      <c r="H35" s="175">
        <f t="shared" si="2"/>
        <v>1237.1999999999998</v>
      </c>
      <c r="I35" s="80"/>
      <c r="J35" s="117" t="s">
        <v>60</v>
      </c>
      <c r="K35" s="80" t="s">
        <v>61</v>
      </c>
      <c r="BC35" s="192" t="s">
        <v>314</v>
      </c>
    </row>
    <row r="36" spans="1:55" x14ac:dyDescent="0.25">
      <c r="A36" s="174" t="s">
        <v>62</v>
      </c>
      <c r="B36" s="84" t="s">
        <v>63</v>
      </c>
      <c r="C36" s="175">
        <v>1095.5999999999999</v>
      </c>
      <c r="D36" s="175">
        <f t="shared" si="0"/>
        <v>1095.5999999999999</v>
      </c>
      <c r="E36" s="180">
        <v>-141.59</v>
      </c>
      <c r="F36" s="180">
        <v>-0.01</v>
      </c>
      <c r="G36" s="175">
        <f t="shared" si="1"/>
        <v>-141.6</v>
      </c>
      <c r="H36" s="175">
        <f t="shared" si="2"/>
        <v>1237.1999999999998</v>
      </c>
      <c r="I36" s="80"/>
      <c r="J36" s="117" t="s">
        <v>62</v>
      </c>
      <c r="K36" s="80" t="s">
        <v>63</v>
      </c>
      <c r="BC36" s="192" t="s">
        <v>313</v>
      </c>
    </row>
    <row r="37" spans="1:55" x14ac:dyDescent="0.25">
      <c r="A37" s="174" t="s">
        <v>64</v>
      </c>
      <c r="B37" s="84" t="s">
        <v>65</v>
      </c>
      <c r="C37" s="175">
        <v>1095.5999999999999</v>
      </c>
      <c r="D37" s="175">
        <f t="shared" si="0"/>
        <v>1095.5999999999999</v>
      </c>
      <c r="E37" s="180">
        <v>-141.59</v>
      </c>
      <c r="F37" s="180">
        <v>-0.01</v>
      </c>
      <c r="G37" s="175">
        <f t="shared" si="1"/>
        <v>-141.6</v>
      </c>
      <c r="H37" s="175">
        <f t="shared" si="2"/>
        <v>1237.1999999999998</v>
      </c>
      <c r="I37" s="80"/>
      <c r="J37" s="117" t="s">
        <v>64</v>
      </c>
      <c r="K37" s="80" t="s">
        <v>65</v>
      </c>
      <c r="BC37" s="192" t="s">
        <v>314</v>
      </c>
    </row>
    <row r="38" spans="1:55" x14ac:dyDescent="0.25">
      <c r="A38" s="174" t="s">
        <v>66</v>
      </c>
      <c r="B38" s="84" t="s">
        <v>67</v>
      </c>
      <c r="C38" s="175">
        <v>1095.5999999999999</v>
      </c>
      <c r="D38" s="175">
        <f t="shared" si="0"/>
        <v>1095.5999999999999</v>
      </c>
      <c r="E38" s="180">
        <v>-141.59</v>
      </c>
      <c r="F38" s="180">
        <v>-0.01</v>
      </c>
      <c r="G38" s="175">
        <f t="shared" si="1"/>
        <v>-141.6</v>
      </c>
      <c r="H38" s="175">
        <f t="shared" si="2"/>
        <v>1237.1999999999998</v>
      </c>
      <c r="I38" s="80"/>
      <c r="J38" s="117" t="s">
        <v>66</v>
      </c>
      <c r="K38" s="80" t="s">
        <v>67</v>
      </c>
      <c r="BC38" s="192" t="s">
        <v>313</v>
      </c>
    </row>
    <row r="39" spans="1:55" x14ac:dyDescent="0.25">
      <c r="A39" s="174" t="s">
        <v>68</v>
      </c>
      <c r="B39" s="84" t="s">
        <v>69</v>
      </c>
      <c r="C39" s="175">
        <v>1095.5999999999999</v>
      </c>
      <c r="D39" s="175">
        <f t="shared" si="0"/>
        <v>1095.5999999999999</v>
      </c>
      <c r="E39" s="180">
        <v>-141.59</v>
      </c>
      <c r="F39" s="180">
        <v>-0.01</v>
      </c>
      <c r="G39" s="175">
        <f t="shared" si="1"/>
        <v>-141.6</v>
      </c>
      <c r="H39" s="175">
        <f t="shared" si="2"/>
        <v>1237.1999999999998</v>
      </c>
      <c r="I39" s="80"/>
      <c r="J39" s="117" t="s">
        <v>68</v>
      </c>
      <c r="K39" s="80" t="s">
        <v>69</v>
      </c>
      <c r="BC39" s="192" t="s">
        <v>311</v>
      </c>
    </row>
    <row r="40" spans="1:55" x14ac:dyDescent="0.25">
      <c r="A40" s="174" t="s">
        <v>70</v>
      </c>
      <c r="B40" s="84" t="s">
        <v>71</v>
      </c>
      <c r="C40" s="175">
        <v>1095.5999999999999</v>
      </c>
      <c r="D40" s="175">
        <f t="shared" si="0"/>
        <v>1095.5999999999999</v>
      </c>
      <c r="E40" s="180">
        <v>-141.59</v>
      </c>
      <c r="F40" s="180">
        <v>-0.01</v>
      </c>
      <c r="G40" s="175">
        <f t="shared" si="1"/>
        <v>-141.6</v>
      </c>
      <c r="H40" s="175">
        <f t="shared" si="2"/>
        <v>1237.1999999999998</v>
      </c>
      <c r="I40" s="80"/>
      <c r="J40" s="117" t="s">
        <v>70</v>
      </c>
      <c r="K40" s="80" t="s">
        <v>71</v>
      </c>
      <c r="BC40" s="192" t="s">
        <v>313</v>
      </c>
    </row>
    <row r="41" spans="1:55" x14ac:dyDescent="0.25">
      <c r="A41" s="174" t="s">
        <v>72</v>
      </c>
      <c r="B41" s="84" t="s">
        <v>73</v>
      </c>
      <c r="C41" s="175">
        <v>1095.5999999999999</v>
      </c>
      <c r="D41" s="175">
        <f t="shared" si="0"/>
        <v>1095.5999999999999</v>
      </c>
      <c r="E41" s="180">
        <v>-141.59</v>
      </c>
      <c r="F41" s="180">
        <v>-0.01</v>
      </c>
      <c r="G41" s="175">
        <f t="shared" si="1"/>
        <v>-141.6</v>
      </c>
      <c r="H41" s="175">
        <f t="shared" si="2"/>
        <v>1237.1999999999998</v>
      </c>
      <c r="I41" s="80"/>
      <c r="J41" s="117" t="s">
        <v>72</v>
      </c>
      <c r="K41" s="80" t="s">
        <v>73</v>
      </c>
      <c r="BC41" s="192" t="s">
        <v>311</v>
      </c>
    </row>
    <row r="42" spans="1:55" x14ac:dyDescent="0.25">
      <c r="A42" s="174" t="s">
        <v>155</v>
      </c>
      <c r="B42" s="84" t="s">
        <v>156</v>
      </c>
      <c r="C42" s="175">
        <v>1095.5999999999999</v>
      </c>
      <c r="D42" s="175">
        <f t="shared" si="0"/>
        <v>1095.5999999999999</v>
      </c>
      <c r="E42" s="180">
        <v>-141.59</v>
      </c>
      <c r="F42" s="180">
        <v>-0.01</v>
      </c>
      <c r="G42" s="175">
        <f t="shared" si="1"/>
        <v>-141.6</v>
      </c>
      <c r="H42" s="175">
        <f t="shared" si="2"/>
        <v>1237.1999999999998</v>
      </c>
      <c r="I42" s="80"/>
      <c r="J42" s="117" t="s">
        <v>155</v>
      </c>
      <c r="K42" s="80" t="s">
        <v>156</v>
      </c>
      <c r="BC42" s="192" t="s">
        <v>316</v>
      </c>
    </row>
    <row r="43" spans="1:55" s="176" customFormat="1" x14ac:dyDescent="0.25">
      <c r="A43" s="174" t="s">
        <v>74</v>
      </c>
      <c r="B43" s="84" t="s">
        <v>75</v>
      </c>
      <c r="C43" s="175">
        <v>1095.5999999999999</v>
      </c>
      <c r="D43" s="175">
        <f t="shared" si="0"/>
        <v>1095.5999999999999</v>
      </c>
      <c r="E43" s="180">
        <v>-141.59</v>
      </c>
      <c r="F43" s="180">
        <v>-0.01</v>
      </c>
      <c r="G43" s="175">
        <f t="shared" si="1"/>
        <v>-141.6</v>
      </c>
      <c r="H43" s="175">
        <f t="shared" si="2"/>
        <v>1237.1999999999998</v>
      </c>
      <c r="I43" s="80"/>
      <c r="J43" s="117" t="s">
        <v>74</v>
      </c>
      <c r="K43" s="80" t="s">
        <v>75</v>
      </c>
      <c r="BC43" s="193" t="s">
        <v>314</v>
      </c>
    </row>
    <row r="44" spans="1:55" x14ac:dyDescent="0.25">
      <c r="A44" s="177" t="s">
        <v>76</v>
      </c>
      <c r="B44" s="176" t="s">
        <v>77</v>
      </c>
      <c r="C44" s="175">
        <f>73.04*13</f>
        <v>949.5200000000001</v>
      </c>
      <c r="D44" s="175">
        <f t="shared" si="0"/>
        <v>949.5200000000001</v>
      </c>
      <c r="E44" s="180">
        <f>-141.59/15*13</f>
        <v>-122.71133333333334</v>
      </c>
      <c r="F44" s="180">
        <v>-0.01</v>
      </c>
      <c r="G44" s="175">
        <f t="shared" si="1"/>
        <v>-122.72133333333335</v>
      </c>
      <c r="H44" s="175">
        <f t="shared" si="2"/>
        <v>1072.2413333333334</v>
      </c>
      <c r="I44" s="80"/>
      <c r="J44" s="117" t="s">
        <v>76</v>
      </c>
      <c r="K44" s="80" t="s">
        <v>77</v>
      </c>
      <c r="BC44" s="192" t="s">
        <v>311</v>
      </c>
    </row>
    <row r="45" spans="1:55" x14ac:dyDescent="0.25">
      <c r="A45" s="174" t="s">
        <v>78</v>
      </c>
      <c r="B45" s="84" t="s">
        <v>79</v>
      </c>
      <c r="C45" s="175">
        <v>1095.5999999999999</v>
      </c>
      <c r="D45" s="175">
        <f t="shared" si="0"/>
        <v>1095.5999999999999</v>
      </c>
      <c r="E45" s="180">
        <v>-141.59</v>
      </c>
      <c r="F45" s="180">
        <v>-0.01</v>
      </c>
      <c r="G45" s="175">
        <f t="shared" si="1"/>
        <v>-141.6</v>
      </c>
      <c r="H45" s="175">
        <f t="shared" si="2"/>
        <v>1237.1999999999998</v>
      </c>
      <c r="I45" s="80"/>
      <c r="J45" s="117" t="s">
        <v>78</v>
      </c>
      <c r="K45" s="80" t="s">
        <v>79</v>
      </c>
      <c r="BC45" s="192" t="s">
        <v>317</v>
      </c>
    </row>
    <row r="46" spans="1:55" x14ac:dyDescent="0.25">
      <c r="A46" s="174" t="s">
        <v>80</v>
      </c>
      <c r="B46" s="84" t="s">
        <v>81</v>
      </c>
      <c r="C46" s="175">
        <v>1095.5999999999999</v>
      </c>
      <c r="D46" s="175">
        <f t="shared" si="0"/>
        <v>1095.5999999999999</v>
      </c>
      <c r="E46" s="180">
        <v>-141.59</v>
      </c>
      <c r="F46" s="180">
        <v>-0.01</v>
      </c>
      <c r="G46" s="175">
        <f t="shared" si="1"/>
        <v>-141.6</v>
      </c>
      <c r="H46" s="175">
        <f t="shared" si="2"/>
        <v>1237.1999999999998</v>
      </c>
      <c r="I46" s="80"/>
      <c r="J46" s="117" t="s">
        <v>80</v>
      </c>
      <c r="K46" s="80" t="s">
        <v>81</v>
      </c>
      <c r="BC46" s="192" t="s">
        <v>313</v>
      </c>
    </row>
    <row r="47" spans="1:55" x14ac:dyDescent="0.25">
      <c r="A47" s="174" t="s">
        <v>82</v>
      </c>
      <c r="B47" s="84" t="s">
        <v>83</v>
      </c>
      <c r="C47" s="175">
        <v>1095.5999999999999</v>
      </c>
      <c r="D47" s="175">
        <f t="shared" si="0"/>
        <v>1095.5999999999999</v>
      </c>
      <c r="E47" s="180">
        <v>-141.59</v>
      </c>
      <c r="F47" s="180">
        <v>-0.01</v>
      </c>
      <c r="G47" s="175">
        <f t="shared" si="1"/>
        <v>-141.6</v>
      </c>
      <c r="H47" s="175">
        <f t="shared" si="2"/>
        <v>1237.1999999999998</v>
      </c>
      <c r="I47" s="80"/>
      <c r="J47" s="117" t="s">
        <v>82</v>
      </c>
      <c r="K47" s="80" t="s">
        <v>83</v>
      </c>
      <c r="BC47" s="192" t="s">
        <v>311</v>
      </c>
    </row>
    <row r="48" spans="1:55" x14ac:dyDescent="0.25">
      <c r="A48" s="174" t="s">
        <v>162</v>
      </c>
      <c r="B48" s="84" t="s">
        <v>157</v>
      </c>
      <c r="C48" s="175">
        <v>1095.5999999999999</v>
      </c>
      <c r="D48" s="175">
        <f t="shared" si="0"/>
        <v>1095.5999999999999</v>
      </c>
      <c r="E48" s="180">
        <v>-141.59</v>
      </c>
      <c r="F48" s="175">
        <v>0.02</v>
      </c>
      <c r="G48" s="175">
        <f t="shared" si="1"/>
        <v>-141.57</v>
      </c>
      <c r="H48" s="175">
        <f t="shared" si="2"/>
        <v>1237.1699999999998</v>
      </c>
      <c r="I48" s="80"/>
      <c r="J48" s="131" t="s">
        <v>162</v>
      </c>
      <c r="K48" s="80" t="s">
        <v>157</v>
      </c>
      <c r="BC48" s="192" t="s">
        <v>311</v>
      </c>
    </row>
    <row r="49" spans="1:55" s="176" customFormat="1" x14ac:dyDescent="0.25">
      <c r="A49" s="177" t="s">
        <v>86</v>
      </c>
      <c r="B49" s="176" t="s">
        <v>87</v>
      </c>
      <c r="C49" s="175">
        <v>1095.5999999999999</v>
      </c>
      <c r="D49" s="175">
        <f t="shared" si="0"/>
        <v>1095.5999999999999</v>
      </c>
      <c r="E49" s="180">
        <v>-141.59</v>
      </c>
      <c r="F49" s="180">
        <v>-0.01</v>
      </c>
      <c r="G49" s="175">
        <f t="shared" si="1"/>
        <v>-141.6</v>
      </c>
      <c r="H49" s="175">
        <f t="shared" si="2"/>
        <v>1237.1999999999998</v>
      </c>
      <c r="I49" s="80"/>
      <c r="J49" s="117" t="s">
        <v>86</v>
      </c>
      <c r="K49" s="80" t="s">
        <v>87</v>
      </c>
      <c r="BC49" s="193" t="s">
        <v>314</v>
      </c>
    </row>
    <row r="50" spans="1:55" x14ac:dyDescent="0.25">
      <c r="A50" s="174" t="s">
        <v>88</v>
      </c>
      <c r="B50" s="84" t="s">
        <v>89</v>
      </c>
      <c r="C50" s="175">
        <v>1095.5999999999999</v>
      </c>
      <c r="D50" s="175">
        <f t="shared" si="0"/>
        <v>1095.5999999999999</v>
      </c>
      <c r="E50" s="180">
        <v>-141.59</v>
      </c>
      <c r="F50" s="175">
        <v>0.19</v>
      </c>
      <c r="G50" s="175">
        <f t="shared" si="1"/>
        <v>-141.4</v>
      </c>
      <c r="H50" s="175">
        <f t="shared" si="2"/>
        <v>1237</v>
      </c>
      <c r="I50" s="80"/>
      <c r="J50" s="117" t="s">
        <v>88</v>
      </c>
      <c r="K50" s="80" t="s">
        <v>89</v>
      </c>
      <c r="BC50" s="192" t="s">
        <v>314</v>
      </c>
    </row>
    <row r="51" spans="1:55" x14ac:dyDescent="0.25">
      <c r="A51" s="174" t="s">
        <v>90</v>
      </c>
      <c r="B51" s="84" t="s">
        <v>91</v>
      </c>
      <c r="C51" s="175">
        <v>1095.5999999999999</v>
      </c>
      <c r="D51" s="175">
        <f t="shared" si="0"/>
        <v>1095.5999999999999</v>
      </c>
      <c r="E51" s="180">
        <v>-141.59</v>
      </c>
      <c r="F51" s="180">
        <v>-0.01</v>
      </c>
      <c r="G51" s="175">
        <f t="shared" si="1"/>
        <v>-141.6</v>
      </c>
      <c r="H51" s="175">
        <f t="shared" si="2"/>
        <v>1237.1999999999998</v>
      </c>
      <c r="I51" s="80"/>
      <c r="J51" s="117" t="s">
        <v>90</v>
      </c>
      <c r="K51" s="80" t="s">
        <v>91</v>
      </c>
      <c r="BC51" s="192" t="s">
        <v>314</v>
      </c>
    </row>
    <row r="52" spans="1:55" x14ac:dyDescent="0.25">
      <c r="A52" s="174" t="s">
        <v>92</v>
      </c>
      <c r="B52" s="84" t="s">
        <v>93</v>
      </c>
      <c r="C52" s="175">
        <v>1095.5999999999999</v>
      </c>
      <c r="D52" s="175">
        <f t="shared" si="0"/>
        <v>1095.5999999999999</v>
      </c>
      <c r="E52" s="180">
        <v>-141.59</v>
      </c>
      <c r="F52" s="180">
        <v>-0.01</v>
      </c>
      <c r="G52" s="175">
        <f t="shared" si="1"/>
        <v>-141.6</v>
      </c>
      <c r="H52" s="175">
        <f t="shared" si="2"/>
        <v>1237.1999999999998</v>
      </c>
      <c r="I52" s="80"/>
      <c r="J52" s="117" t="s">
        <v>92</v>
      </c>
      <c r="K52" s="80" t="s">
        <v>93</v>
      </c>
      <c r="BC52" s="192" t="s">
        <v>315</v>
      </c>
    </row>
    <row r="53" spans="1:55" x14ac:dyDescent="0.25">
      <c r="A53" s="174" t="s">
        <v>94</v>
      </c>
      <c r="B53" s="84" t="s">
        <v>95</v>
      </c>
      <c r="C53" s="175">
        <v>1095.5999999999999</v>
      </c>
      <c r="D53" s="175">
        <f t="shared" si="0"/>
        <v>1095.5999999999999</v>
      </c>
      <c r="E53" s="180">
        <v>-141.59</v>
      </c>
      <c r="F53" s="180">
        <v>-0.01</v>
      </c>
      <c r="G53" s="175">
        <f t="shared" si="1"/>
        <v>-141.6</v>
      </c>
      <c r="H53" s="175">
        <f t="shared" si="2"/>
        <v>1237.1999999999998</v>
      </c>
      <c r="I53" s="80"/>
      <c r="J53" s="117" t="s">
        <v>94</v>
      </c>
      <c r="K53" s="80" t="s">
        <v>95</v>
      </c>
      <c r="BC53" s="192" t="s">
        <v>311</v>
      </c>
    </row>
    <row r="54" spans="1:55" x14ac:dyDescent="0.25">
      <c r="A54" s="174"/>
      <c r="B54" s="121" t="s">
        <v>301</v>
      </c>
      <c r="C54" s="175">
        <v>1095.5999999999999</v>
      </c>
      <c r="D54" s="175">
        <f t="shared" si="0"/>
        <v>1095.5999999999999</v>
      </c>
      <c r="E54" s="180">
        <v>-141.59</v>
      </c>
      <c r="F54" s="180">
        <v>-0.01</v>
      </c>
      <c r="G54" s="175">
        <f t="shared" si="1"/>
        <v>-141.6</v>
      </c>
      <c r="H54" s="175">
        <f t="shared" si="2"/>
        <v>1237.1999999999998</v>
      </c>
      <c r="I54" s="80"/>
      <c r="J54" s="117"/>
      <c r="K54" s="121" t="s">
        <v>301</v>
      </c>
      <c r="BC54" s="192" t="s">
        <v>314</v>
      </c>
    </row>
    <row r="55" spans="1:55" x14ac:dyDescent="0.25">
      <c r="A55" s="174" t="s">
        <v>96</v>
      </c>
      <c r="B55" s="84" t="s">
        <v>97</v>
      </c>
      <c r="C55" s="175">
        <v>1095.5999999999999</v>
      </c>
      <c r="D55" s="175">
        <f t="shared" si="0"/>
        <v>1095.5999999999999</v>
      </c>
      <c r="E55" s="180">
        <v>-141.59</v>
      </c>
      <c r="F55" s="180">
        <v>-0.01</v>
      </c>
      <c r="G55" s="175">
        <f t="shared" si="1"/>
        <v>-141.6</v>
      </c>
      <c r="H55" s="175">
        <f t="shared" si="2"/>
        <v>1237.1999999999998</v>
      </c>
      <c r="I55" s="80"/>
      <c r="J55" s="117" t="s">
        <v>96</v>
      </c>
      <c r="K55" s="80" t="s">
        <v>97</v>
      </c>
      <c r="BC55" s="192" t="s">
        <v>314</v>
      </c>
    </row>
    <row r="56" spans="1:55" x14ac:dyDescent="0.25">
      <c r="A56" s="174" t="s">
        <v>98</v>
      </c>
      <c r="B56" s="84" t="s">
        <v>99</v>
      </c>
      <c r="C56" s="175">
        <v>1095.5999999999999</v>
      </c>
      <c r="D56" s="175">
        <f t="shared" si="0"/>
        <v>1095.5999999999999</v>
      </c>
      <c r="E56" s="180">
        <v>-141.59</v>
      </c>
      <c r="F56" s="180">
        <v>-0.01</v>
      </c>
      <c r="G56" s="175">
        <f t="shared" si="1"/>
        <v>-141.6</v>
      </c>
      <c r="H56" s="175">
        <f t="shared" si="2"/>
        <v>1237.1999999999998</v>
      </c>
      <c r="I56" s="80"/>
      <c r="J56" s="117" t="s">
        <v>98</v>
      </c>
      <c r="K56" s="80" t="s">
        <v>99</v>
      </c>
      <c r="BC56" s="192" t="s">
        <v>314</v>
      </c>
    </row>
    <row r="57" spans="1:55" x14ac:dyDescent="0.25">
      <c r="A57" s="174" t="s">
        <v>100</v>
      </c>
      <c r="B57" s="84" t="s">
        <v>101</v>
      </c>
      <c r="C57" s="175">
        <v>1095.5999999999999</v>
      </c>
      <c r="D57" s="175">
        <f t="shared" si="0"/>
        <v>1095.5999999999999</v>
      </c>
      <c r="E57" s="180">
        <v>-141.59</v>
      </c>
      <c r="F57" s="180">
        <v>-0.01</v>
      </c>
      <c r="G57" s="175">
        <f t="shared" si="1"/>
        <v>-141.6</v>
      </c>
      <c r="H57" s="175">
        <f t="shared" si="2"/>
        <v>1237.1999999999998</v>
      </c>
      <c r="I57" s="80"/>
      <c r="J57" s="117" t="s">
        <v>100</v>
      </c>
      <c r="K57" s="80" t="s">
        <v>101</v>
      </c>
      <c r="BC57" s="192" t="s">
        <v>311</v>
      </c>
    </row>
    <row r="58" spans="1:55" x14ac:dyDescent="0.25">
      <c r="A58" s="174" t="s">
        <v>102</v>
      </c>
      <c r="B58" s="84" t="s">
        <v>103</v>
      </c>
      <c r="C58" s="175">
        <v>1095.5999999999999</v>
      </c>
      <c r="D58" s="175">
        <f t="shared" si="0"/>
        <v>1095.5999999999999</v>
      </c>
      <c r="E58" s="180">
        <v>-141.59</v>
      </c>
      <c r="F58" s="180">
        <v>-0.01</v>
      </c>
      <c r="G58" s="175">
        <f t="shared" si="1"/>
        <v>-141.6</v>
      </c>
      <c r="H58" s="175">
        <f t="shared" si="2"/>
        <v>1237.1999999999998</v>
      </c>
      <c r="I58" s="80"/>
      <c r="J58" s="117" t="s">
        <v>102</v>
      </c>
      <c r="K58" s="80" t="s">
        <v>103</v>
      </c>
      <c r="BC58" s="192" t="s">
        <v>315</v>
      </c>
    </row>
    <row r="59" spans="1:55" x14ac:dyDescent="0.25">
      <c r="A59" s="174" t="s">
        <v>104</v>
      </c>
      <c r="B59" s="84" t="s">
        <v>105</v>
      </c>
      <c r="C59" s="175">
        <v>1095.5999999999999</v>
      </c>
      <c r="D59" s="175">
        <f t="shared" si="0"/>
        <v>1095.5999999999999</v>
      </c>
      <c r="E59" s="180">
        <v>-141.59</v>
      </c>
      <c r="F59" s="180">
        <v>-0.01</v>
      </c>
      <c r="G59" s="175">
        <f t="shared" si="1"/>
        <v>-141.6</v>
      </c>
      <c r="H59" s="175">
        <f t="shared" si="2"/>
        <v>1237.1999999999998</v>
      </c>
      <c r="I59" s="80"/>
      <c r="J59" s="117" t="s">
        <v>104</v>
      </c>
      <c r="K59" s="80" t="s">
        <v>105</v>
      </c>
      <c r="BC59" s="192" t="s">
        <v>312</v>
      </c>
    </row>
    <row r="60" spans="1:55" x14ac:dyDescent="0.25">
      <c r="A60" s="174" t="s">
        <v>106</v>
      </c>
      <c r="B60" s="84" t="s">
        <v>107</v>
      </c>
      <c r="C60" s="175">
        <v>1095.5999999999999</v>
      </c>
      <c r="D60" s="175">
        <f t="shared" si="0"/>
        <v>1095.5999999999999</v>
      </c>
      <c r="E60" s="180">
        <v>-141.59</v>
      </c>
      <c r="F60" s="180">
        <v>-0.01</v>
      </c>
      <c r="G60" s="175">
        <f t="shared" si="1"/>
        <v>-141.6</v>
      </c>
      <c r="H60" s="175">
        <f t="shared" si="2"/>
        <v>1237.1999999999998</v>
      </c>
      <c r="I60" s="80"/>
      <c r="J60" s="117" t="s">
        <v>106</v>
      </c>
      <c r="K60" s="80" t="s">
        <v>107</v>
      </c>
      <c r="BC60" s="192" t="s">
        <v>314</v>
      </c>
    </row>
    <row r="61" spans="1:55" x14ac:dyDescent="0.25">
      <c r="A61" s="174" t="s">
        <v>108</v>
      </c>
      <c r="B61" s="84" t="s">
        <v>109</v>
      </c>
      <c r="C61" s="175">
        <v>1095.5999999999999</v>
      </c>
      <c r="D61" s="175">
        <f t="shared" si="0"/>
        <v>1095.5999999999999</v>
      </c>
      <c r="E61" s="180">
        <v>-141.59</v>
      </c>
      <c r="F61" s="175">
        <v>0.19</v>
      </c>
      <c r="G61" s="175">
        <f t="shared" si="1"/>
        <v>-141.4</v>
      </c>
      <c r="H61" s="175">
        <f t="shared" si="2"/>
        <v>1237</v>
      </c>
      <c r="I61" s="80"/>
      <c r="J61" s="117" t="s">
        <v>108</v>
      </c>
      <c r="K61" s="80" t="s">
        <v>109</v>
      </c>
      <c r="BC61" s="192" t="s">
        <v>311</v>
      </c>
    </row>
    <row r="62" spans="1:55" x14ac:dyDescent="0.25">
      <c r="A62" s="174" t="s">
        <v>110</v>
      </c>
      <c r="B62" s="84" t="s">
        <v>111</v>
      </c>
      <c r="C62" s="175">
        <v>1095.5999999999999</v>
      </c>
      <c r="D62" s="175">
        <f t="shared" si="0"/>
        <v>1095.5999999999999</v>
      </c>
      <c r="E62" s="180">
        <v>-141.59</v>
      </c>
      <c r="F62" s="180">
        <v>-0.01</v>
      </c>
      <c r="G62" s="175">
        <f t="shared" si="1"/>
        <v>-141.6</v>
      </c>
      <c r="H62" s="175">
        <f t="shared" si="2"/>
        <v>1237.1999999999998</v>
      </c>
      <c r="I62" s="80"/>
      <c r="J62" s="117" t="s">
        <v>110</v>
      </c>
      <c r="K62" s="80" t="s">
        <v>111</v>
      </c>
      <c r="BC62" s="192" t="s">
        <v>314</v>
      </c>
    </row>
    <row r="63" spans="1:55" x14ac:dyDescent="0.25">
      <c r="A63" s="174" t="s">
        <v>112</v>
      </c>
      <c r="B63" s="84" t="s">
        <v>113</v>
      </c>
      <c r="C63" s="175">
        <v>1095.5999999999999</v>
      </c>
      <c r="D63" s="175">
        <f t="shared" si="0"/>
        <v>1095.5999999999999</v>
      </c>
      <c r="E63" s="180">
        <v>-141.59</v>
      </c>
      <c r="F63" s="175">
        <v>0.19</v>
      </c>
      <c r="G63" s="175">
        <f t="shared" si="1"/>
        <v>-141.4</v>
      </c>
      <c r="H63" s="175">
        <f t="shared" si="2"/>
        <v>1237</v>
      </c>
      <c r="I63" s="80"/>
      <c r="J63" s="117" t="s">
        <v>112</v>
      </c>
      <c r="K63" s="80" t="s">
        <v>113</v>
      </c>
      <c r="BC63" s="192" t="s">
        <v>314</v>
      </c>
    </row>
    <row r="64" spans="1:55" x14ac:dyDescent="0.25">
      <c r="A64" s="174" t="s">
        <v>114</v>
      </c>
      <c r="B64" s="84" t="s">
        <v>115</v>
      </c>
      <c r="C64" s="175">
        <v>1095.5999999999999</v>
      </c>
      <c r="D64" s="175">
        <f t="shared" si="0"/>
        <v>1095.5999999999999</v>
      </c>
      <c r="E64" s="180">
        <v>-141.59</v>
      </c>
      <c r="F64" s="180">
        <v>-0.01</v>
      </c>
      <c r="G64" s="175">
        <f t="shared" si="1"/>
        <v>-141.6</v>
      </c>
      <c r="H64" s="175">
        <f t="shared" si="2"/>
        <v>1237.1999999999998</v>
      </c>
      <c r="I64" s="80"/>
      <c r="J64" s="117" t="s">
        <v>114</v>
      </c>
      <c r="K64" s="80" t="s">
        <v>115</v>
      </c>
      <c r="BC64" s="192" t="s">
        <v>317</v>
      </c>
    </row>
    <row r="65" spans="1:55" x14ac:dyDescent="0.25">
      <c r="A65" s="174" t="s">
        <v>116</v>
      </c>
      <c r="B65" s="84" t="s">
        <v>117</v>
      </c>
      <c r="C65" s="175">
        <v>1095.5999999999999</v>
      </c>
      <c r="D65" s="175">
        <f t="shared" si="0"/>
        <v>1095.5999999999999</v>
      </c>
      <c r="E65" s="180">
        <v>-141.59</v>
      </c>
      <c r="F65" s="180">
        <v>-0.01</v>
      </c>
      <c r="G65" s="175">
        <f t="shared" si="1"/>
        <v>-141.6</v>
      </c>
      <c r="H65" s="175">
        <f t="shared" si="2"/>
        <v>1237.1999999999998</v>
      </c>
      <c r="I65" s="80"/>
      <c r="J65" s="117" t="s">
        <v>116</v>
      </c>
      <c r="K65" s="80" t="s">
        <v>117</v>
      </c>
      <c r="BC65" s="192" t="s">
        <v>314</v>
      </c>
    </row>
    <row r="66" spans="1:55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117"/>
      <c r="K66" s="80"/>
      <c r="BC66" s="192"/>
    </row>
    <row r="67" spans="1:55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BC67" s="192"/>
    </row>
    <row r="68" spans="1:55" x14ac:dyDescent="0.25">
      <c r="A68" s="181"/>
      <c r="B68" s="182"/>
      <c r="C68" s="182" t="s">
        <v>118</v>
      </c>
      <c r="D68" s="182" t="s">
        <v>118</v>
      </c>
      <c r="E68" s="182" t="s">
        <v>118</v>
      </c>
      <c r="F68" s="182" t="s">
        <v>118</v>
      </c>
      <c r="G68" s="182" t="s">
        <v>118</v>
      </c>
      <c r="H68" s="182" t="s">
        <v>118</v>
      </c>
      <c r="I68" s="80"/>
      <c r="J68" s="80"/>
      <c r="K68" s="80"/>
      <c r="BC68" s="192"/>
    </row>
    <row r="69" spans="1:55" x14ac:dyDescent="0.25">
      <c r="A69" s="183" t="s">
        <v>119</v>
      </c>
      <c r="B69" s="84" t="s">
        <v>120</v>
      </c>
      <c r="C69" s="184">
        <f>SUM(C10:C68)</f>
        <v>60111.919999999947</v>
      </c>
      <c r="D69" s="184">
        <f t="shared" ref="D69:H69" si="3">SUM(D10:D68)</f>
        <v>60111.919999999947</v>
      </c>
      <c r="E69" s="184">
        <f t="shared" si="3"/>
        <v>-7768.5713333333388</v>
      </c>
      <c r="F69" s="184">
        <f t="shared" si="3"/>
        <v>0.32</v>
      </c>
      <c r="G69" s="184">
        <f>SUM(G10:G68)</f>
        <v>-7768.2513333333382</v>
      </c>
      <c r="H69" s="184">
        <f t="shared" si="3"/>
        <v>67880.171333333274</v>
      </c>
      <c r="I69" s="80"/>
      <c r="J69" s="80"/>
      <c r="K69" s="80"/>
      <c r="BC69" s="192"/>
    </row>
    <row r="70" spans="1:55" s="182" customFormat="1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BC70" s="196"/>
    </row>
    <row r="71" spans="1:55" x14ac:dyDescent="0.25">
      <c r="I71" s="80"/>
      <c r="BC71" s="192"/>
    </row>
    <row r="72" spans="1:55" x14ac:dyDescent="0.25">
      <c r="BC72" s="192"/>
    </row>
    <row r="73" spans="1:55" x14ac:dyDescent="0.25">
      <c r="BC73" s="192"/>
    </row>
    <row r="74" spans="1:55" x14ac:dyDescent="0.25">
      <c r="BC74" s="192"/>
    </row>
    <row r="75" spans="1:55" x14ac:dyDescent="0.25">
      <c r="BC75" s="192"/>
    </row>
    <row r="76" spans="1:55" x14ac:dyDescent="0.25">
      <c r="BC76" s="192"/>
    </row>
    <row r="77" spans="1:55" x14ac:dyDescent="0.25">
      <c r="BC77" s="192"/>
    </row>
    <row r="78" spans="1:55" x14ac:dyDescent="0.25">
      <c r="A78" s="174" t="s">
        <v>84</v>
      </c>
      <c r="B78" s="84" t="s">
        <v>85</v>
      </c>
      <c r="C78" s="175">
        <v>1095.5999999999999</v>
      </c>
      <c r="D78" s="175">
        <v>1095.5999999999999</v>
      </c>
      <c r="E78" s="180">
        <v>-141.59</v>
      </c>
      <c r="F78" s="180">
        <v>-0.01</v>
      </c>
      <c r="G78" s="175">
        <v>-141.6</v>
      </c>
      <c r="H78" s="175">
        <v>1237.2</v>
      </c>
      <c r="I78" s="80"/>
      <c r="BC78" s="192"/>
    </row>
    <row r="79" spans="1:55" x14ac:dyDescent="0.25">
      <c r="BC79" s="192"/>
    </row>
    <row r="80" spans="1:55" x14ac:dyDescent="0.25">
      <c r="BC80" s="192"/>
    </row>
    <row r="81" spans="55:55" x14ac:dyDescent="0.25">
      <c r="BC81" s="192"/>
    </row>
    <row r="82" spans="55:55" x14ac:dyDescent="0.25">
      <c r="BC82" s="192"/>
    </row>
  </sheetData>
  <sortState ref="J10:L68">
    <sortCondition ref="K10:K68"/>
  </sortState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82"/>
  <sheetViews>
    <sheetView workbookViewId="0">
      <pane xSplit="2" ySplit="9" topLeftCell="C10" activePane="bottomRight" state="frozen"/>
      <selection activeCell="BD66" sqref="A1:BD66"/>
      <selection pane="topRight" activeCell="BD66" sqref="A1:BD66"/>
      <selection pane="bottomLeft" activeCell="BD66" sqref="A1:BD66"/>
      <selection pane="bottomRight" activeCell="BD66" sqref="A1:BD66"/>
    </sheetView>
  </sheetViews>
  <sheetFormatPr baseColWidth="10" defaultRowHeight="15" x14ac:dyDescent="0.25"/>
  <cols>
    <col min="1" max="1" width="11.42578125" style="76"/>
    <col min="2" max="2" width="26" style="76" customWidth="1"/>
    <col min="3" max="3" width="15.140625" style="76" customWidth="1"/>
    <col min="4" max="5" width="15.7109375" style="76" customWidth="1"/>
    <col min="6" max="7" width="10.28515625" style="76" hidden="1" customWidth="1"/>
    <col min="8" max="9" width="10.5703125" style="76" hidden="1" customWidth="1"/>
    <col min="10" max="11" width="13.5703125" style="76" hidden="1" customWidth="1"/>
    <col min="12" max="12" width="14.42578125" style="84" hidden="1" customWidth="1"/>
    <col min="13" max="14" width="0" style="76" hidden="1" customWidth="1"/>
    <col min="15" max="15" width="31.140625" style="76" hidden="1" customWidth="1"/>
    <col min="16" max="16" width="0" style="76" hidden="1" customWidth="1"/>
    <col min="17" max="18" width="11.42578125" style="76"/>
    <col min="19" max="24" width="11.42578125" style="84"/>
    <col min="25" max="54" width="11.42578125" style="84" hidden="1" customWidth="1"/>
    <col min="55" max="55" width="11.42578125" style="75"/>
    <col min="56" max="16384" width="11.42578125" style="84"/>
  </cols>
  <sheetData>
    <row r="1" spans="1:55" ht="18" customHeight="1" x14ac:dyDescent="0.25">
      <c r="A1" s="165" t="s">
        <v>0</v>
      </c>
      <c r="B1" s="166" t="s">
        <v>120</v>
      </c>
      <c r="C1" s="86"/>
      <c r="D1" s="84"/>
      <c r="E1" s="84"/>
      <c r="F1" s="84"/>
      <c r="G1" s="84"/>
      <c r="H1" s="84"/>
      <c r="I1" s="84"/>
      <c r="J1" s="84"/>
      <c r="K1" s="84"/>
      <c r="L1" s="84" t="s">
        <v>47</v>
      </c>
      <c r="M1" s="76">
        <v>62.13</v>
      </c>
      <c r="N1" s="76" t="s">
        <v>284</v>
      </c>
    </row>
    <row r="2" spans="1:55" ht="24.95" customHeight="1" x14ac:dyDescent="0.25">
      <c r="A2" s="167" t="s">
        <v>1</v>
      </c>
      <c r="B2" s="168" t="s">
        <v>2</v>
      </c>
      <c r="C2" s="85"/>
      <c r="D2" s="84"/>
      <c r="E2" s="84"/>
      <c r="F2" s="84"/>
      <c r="G2" s="84"/>
      <c r="H2" s="84"/>
      <c r="I2" s="84"/>
      <c r="J2" s="84"/>
      <c r="K2" s="84"/>
      <c r="O2" s="76">
        <f>417-500</f>
        <v>-83</v>
      </c>
    </row>
    <row r="3" spans="1:55" x14ac:dyDescent="0.25">
      <c r="A3" s="84"/>
      <c r="B3" s="169" t="s">
        <v>3</v>
      </c>
      <c r="C3" s="86"/>
      <c r="D3" s="84"/>
      <c r="E3" s="84"/>
      <c r="F3" s="84"/>
      <c r="G3" s="84"/>
      <c r="H3" s="84"/>
      <c r="I3" s="84"/>
      <c r="J3" s="84"/>
      <c r="K3" s="84"/>
    </row>
    <row r="4" spans="1:55" x14ac:dyDescent="0.25">
      <c r="A4" s="84"/>
      <c r="B4" s="169" t="str">
        <f>+FACTURACIÓN!B4</f>
        <v>Periodo 5 al 5 Quincenal del 01/03/2016 al 15/03/2016</v>
      </c>
      <c r="C4" s="86"/>
      <c r="D4" s="84"/>
      <c r="E4" s="84"/>
      <c r="F4" s="84"/>
      <c r="G4" s="84"/>
      <c r="H4" s="84"/>
      <c r="I4" s="84"/>
      <c r="J4" s="84"/>
      <c r="K4" s="84"/>
    </row>
    <row r="5" spans="1:55" x14ac:dyDescent="0.25">
      <c r="A5" s="84"/>
      <c r="B5" s="169" t="s">
        <v>4</v>
      </c>
      <c r="C5" s="84"/>
      <c r="D5" s="84"/>
      <c r="E5" s="84"/>
      <c r="F5" s="84"/>
      <c r="G5" s="84"/>
      <c r="H5" s="84"/>
      <c r="I5" s="84"/>
      <c r="J5" s="84"/>
      <c r="K5" s="84"/>
    </row>
    <row r="6" spans="1:55" x14ac:dyDescent="0.25">
      <c r="A6" s="84"/>
      <c r="B6" s="169" t="s">
        <v>5</v>
      </c>
      <c r="C6" s="84"/>
      <c r="D6" s="84"/>
      <c r="E6" s="84"/>
      <c r="F6" s="84"/>
      <c r="G6" s="84"/>
      <c r="H6" s="84"/>
      <c r="I6" s="84"/>
      <c r="J6" s="84"/>
      <c r="K6" s="84"/>
    </row>
    <row r="7" spans="1:55" x14ac:dyDescent="0.25">
      <c r="B7" s="99"/>
      <c r="E7" s="84"/>
      <c r="F7" s="84"/>
      <c r="G7" s="84"/>
      <c r="H7" s="84"/>
      <c r="I7" s="84"/>
      <c r="J7" s="84"/>
      <c r="K7" s="84"/>
    </row>
    <row r="8" spans="1:55" s="85" customFormat="1" x14ac:dyDescent="0.25">
      <c r="BC8" s="170"/>
    </row>
    <row r="9" spans="1:55" ht="45.75" thickBot="1" x14ac:dyDescent="0.3">
      <c r="A9" s="171" t="s">
        <v>6</v>
      </c>
      <c r="B9" s="172" t="s">
        <v>7</v>
      </c>
      <c r="C9" s="172" t="s">
        <v>163</v>
      </c>
      <c r="D9" s="173" t="s">
        <v>9</v>
      </c>
      <c r="E9" s="173" t="s">
        <v>178</v>
      </c>
      <c r="F9" s="111" t="s">
        <v>181</v>
      </c>
      <c r="G9" s="111" t="s">
        <v>282</v>
      </c>
      <c r="H9" s="111" t="s">
        <v>280</v>
      </c>
      <c r="I9" s="111" t="s">
        <v>153</v>
      </c>
      <c r="J9" s="173" t="s">
        <v>145</v>
      </c>
      <c r="K9" s="173" t="s">
        <v>278</v>
      </c>
      <c r="L9" s="173" t="s">
        <v>12</v>
      </c>
      <c r="M9" s="173" t="s">
        <v>12</v>
      </c>
      <c r="N9" s="85"/>
      <c r="O9" s="85"/>
      <c r="P9" s="85"/>
      <c r="Q9" s="85"/>
      <c r="R9" s="85"/>
      <c r="S9" s="85"/>
      <c r="T9" s="85"/>
      <c r="U9" s="85"/>
      <c r="V9" s="85"/>
      <c r="W9" s="85"/>
    </row>
    <row r="10" spans="1:55" ht="15.75" thickTop="1" x14ac:dyDescent="0.25">
      <c r="A10" s="174" t="s">
        <v>14</v>
      </c>
      <c r="B10" s="84" t="s">
        <v>15</v>
      </c>
      <c r="C10" s="175">
        <f>+FACTURACIÓN!H10-'C&amp;A'!H10</f>
        <v>1750.0738971313581</v>
      </c>
      <c r="D10" s="175">
        <f>SUM(C10)</f>
        <v>1750.0738971313581</v>
      </c>
      <c r="E10" s="175">
        <f>+FACTURACIÓN!I10</f>
        <v>0</v>
      </c>
      <c r="F10" s="175">
        <f>+FACTURACIÓN!J10</f>
        <v>0</v>
      </c>
      <c r="G10" s="175">
        <f>+FACTURACIÓN!K10</f>
        <v>0</v>
      </c>
      <c r="H10" s="175">
        <f>+FACTURACIÓN!L10</f>
        <v>0</v>
      </c>
      <c r="I10" s="175">
        <f>+FACTURACIÓN!M10</f>
        <v>45.15</v>
      </c>
      <c r="J10" s="175">
        <f>+FACTURACIÓN!N10</f>
        <v>0</v>
      </c>
      <c r="K10" s="175">
        <f>+FACTURACIÓN!O10</f>
        <v>0</v>
      </c>
      <c r="L10" s="175">
        <f>SUM(E10:K10)</f>
        <v>45.15</v>
      </c>
      <c r="M10" s="133">
        <f>+D10-L10</f>
        <v>1704.923897131358</v>
      </c>
      <c r="N10" s="84"/>
      <c r="O10" s="117" t="s">
        <v>14</v>
      </c>
      <c r="P10" s="80" t="s">
        <v>15</v>
      </c>
      <c r="Q10" s="84"/>
      <c r="R10" s="84"/>
      <c r="BC10" s="192" t="s">
        <v>314</v>
      </c>
    </row>
    <row r="11" spans="1:55" x14ac:dyDescent="0.25">
      <c r="A11" s="174" t="s">
        <v>16</v>
      </c>
      <c r="B11" s="84" t="s">
        <v>17</v>
      </c>
      <c r="C11" s="175">
        <f>+FACTURACIÓN!H11-'C&amp;A'!H11</f>
        <v>4040.3</v>
      </c>
      <c r="D11" s="175">
        <f t="shared" ref="D11:D64" si="0">SUM(C11)</f>
        <v>4040.3</v>
      </c>
      <c r="E11" s="175">
        <f>+FACTURACIÓN!I11</f>
        <v>0</v>
      </c>
      <c r="F11" s="175">
        <f>+FACTURACIÓN!J11</f>
        <v>0</v>
      </c>
      <c r="G11" s="175">
        <f>+FACTURACIÓN!K11</f>
        <v>0</v>
      </c>
      <c r="H11" s="175">
        <f>+FACTURACIÓN!L11</f>
        <v>0</v>
      </c>
      <c r="I11" s="175">
        <f>+FACTURACIÓN!M11</f>
        <v>45.15</v>
      </c>
      <c r="J11" s="175">
        <f>+FACTURACIÓN!N11</f>
        <v>0</v>
      </c>
      <c r="K11" s="175">
        <f>+FACTURACIÓN!O11</f>
        <v>523.23500000000001</v>
      </c>
      <c r="L11" s="175">
        <f t="shared" ref="L11:L65" si="1">SUM(E11:K11)</f>
        <v>568.38499999999999</v>
      </c>
      <c r="M11" s="133">
        <f t="shared" ref="M11:M65" si="2">+D11-L11</f>
        <v>3471.915</v>
      </c>
      <c r="N11" s="84"/>
      <c r="O11" s="117" t="s">
        <v>16</v>
      </c>
      <c r="P11" s="80" t="s">
        <v>17</v>
      </c>
      <c r="Q11" s="84"/>
      <c r="R11" s="84"/>
      <c r="BC11" s="192" t="s">
        <v>311</v>
      </c>
    </row>
    <row r="12" spans="1:55" x14ac:dyDescent="0.25">
      <c r="A12" s="174" t="s">
        <v>18</v>
      </c>
      <c r="B12" s="84" t="s">
        <v>19</v>
      </c>
      <c r="C12" s="175">
        <f>+FACTURACIÓN!H12-'C&amp;A'!H12</f>
        <v>2512.8000000000002</v>
      </c>
      <c r="D12" s="175">
        <f t="shared" si="0"/>
        <v>2512.8000000000002</v>
      </c>
      <c r="E12" s="175">
        <f>+FACTURACIÓN!I12</f>
        <v>0</v>
      </c>
      <c r="F12" s="175">
        <f>+FACTURACIÓN!J12</f>
        <v>0</v>
      </c>
      <c r="G12" s="175">
        <f>+FACTURACIÓN!K12</f>
        <v>0</v>
      </c>
      <c r="H12" s="175">
        <f>+FACTURACIÓN!L12</f>
        <v>0</v>
      </c>
      <c r="I12" s="175">
        <f>+FACTURACIÓN!M12</f>
        <v>45.15</v>
      </c>
      <c r="J12" s="175">
        <f>+FACTURACIÓN!N12</f>
        <v>0</v>
      </c>
      <c r="K12" s="175">
        <f>+FACTURACIÓN!O12</f>
        <v>0</v>
      </c>
      <c r="L12" s="175">
        <f t="shared" si="1"/>
        <v>45.15</v>
      </c>
      <c r="M12" s="133">
        <f t="shared" si="2"/>
        <v>2467.65</v>
      </c>
      <c r="N12" s="84"/>
      <c r="O12" s="117" t="s">
        <v>18</v>
      </c>
      <c r="P12" s="80" t="s">
        <v>19</v>
      </c>
      <c r="Q12" s="84"/>
      <c r="R12" s="84"/>
      <c r="BC12" s="192" t="s">
        <v>311</v>
      </c>
    </row>
    <row r="13" spans="1:55" x14ac:dyDescent="0.25">
      <c r="A13" s="174" t="s">
        <v>20</v>
      </c>
      <c r="B13" s="84" t="s">
        <v>21</v>
      </c>
      <c r="C13" s="175">
        <f>+FACTURACIÓN!H13-'C&amp;A'!H13</f>
        <v>17749.59</v>
      </c>
      <c r="D13" s="175">
        <f t="shared" si="0"/>
        <v>17749.59</v>
      </c>
      <c r="E13" s="175">
        <f>+FACTURACIÓN!I13</f>
        <v>0</v>
      </c>
      <c r="F13" s="175">
        <f>+FACTURACIÓN!J13</f>
        <v>0</v>
      </c>
      <c r="G13" s="175">
        <f>+FACTURACIÓN!K13</f>
        <v>0</v>
      </c>
      <c r="H13" s="175">
        <f>+FACTURACIÓN!L13</f>
        <v>0</v>
      </c>
      <c r="I13" s="175">
        <f>+FACTURACIÓN!M13</f>
        <v>45.15</v>
      </c>
      <c r="J13" s="175">
        <f>+FACTURACIÓN!N13</f>
        <v>2181.2800000000002</v>
      </c>
      <c r="K13" s="175">
        <f>+FACTURACIÓN!O13</f>
        <v>1906.6759999999999</v>
      </c>
      <c r="L13" s="175">
        <f t="shared" si="1"/>
        <v>4133.1059999999998</v>
      </c>
      <c r="M13" s="133">
        <f t="shared" si="2"/>
        <v>13616.484</v>
      </c>
      <c r="N13" s="84"/>
      <c r="O13" s="117" t="s">
        <v>20</v>
      </c>
      <c r="P13" s="80" t="s">
        <v>21</v>
      </c>
      <c r="Q13" s="84"/>
      <c r="R13" s="84"/>
      <c r="BC13" s="192" t="s">
        <v>312</v>
      </c>
    </row>
    <row r="14" spans="1:55" x14ac:dyDescent="0.25">
      <c r="A14" s="174" t="s">
        <v>22</v>
      </c>
      <c r="B14" s="84" t="s">
        <v>23</v>
      </c>
      <c r="C14" s="175">
        <f>+FACTURACIÓN!H14-'C&amp;A'!H14</f>
        <v>3012.8</v>
      </c>
      <c r="D14" s="175">
        <f t="shared" si="0"/>
        <v>3012.8</v>
      </c>
      <c r="E14" s="175">
        <f>+FACTURACIÓN!I14</f>
        <v>0</v>
      </c>
      <c r="F14" s="175">
        <f>+FACTURACIÓN!J14</f>
        <v>0</v>
      </c>
      <c r="G14" s="175">
        <f>+FACTURACIÓN!K14</f>
        <v>0</v>
      </c>
      <c r="H14" s="175">
        <f>+FACTURACIÓN!L14</f>
        <v>0</v>
      </c>
      <c r="I14" s="175">
        <f>+FACTURACIÓN!M14</f>
        <v>45.15</v>
      </c>
      <c r="J14" s="175">
        <f>+FACTURACIÓN!N14</f>
        <v>902.31</v>
      </c>
      <c r="K14" s="175">
        <f>+FACTURACIÓN!O14</f>
        <v>0</v>
      </c>
      <c r="L14" s="175">
        <f t="shared" si="1"/>
        <v>947.45999999999992</v>
      </c>
      <c r="M14" s="133">
        <f t="shared" si="2"/>
        <v>2065.34</v>
      </c>
      <c r="N14" s="84"/>
      <c r="O14" s="117" t="s">
        <v>22</v>
      </c>
      <c r="P14" s="80" t="s">
        <v>23</v>
      </c>
      <c r="Q14" s="84"/>
      <c r="R14" s="84"/>
      <c r="BC14" s="192" t="s">
        <v>312</v>
      </c>
    </row>
    <row r="15" spans="1:55" x14ac:dyDescent="0.25">
      <c r="A15" s="174" t="s">
        <v>164</v>
      </c>
      <c r="B15" s="84" t="s">
        <v>25</v>
      </c>
      <c r="C15" s="175">
        <f>+FACTURACIÓN!H15-'C&amp;A'!H15</f>
        <v>5012.8</v>
      </c>
      <c r="D15" s="175">
        <f t="shared" si="0"/>
        <v>5012.8</v>
      </c>
      <c r="E15" s="175">
        <f>+FACTURACIÓN!I15</f>
        <v>0</v>
      </c>
      <c r="F15" s="175">
        <f>+FACTURACIÓN!J15</f>
        <v>0</v>
      </c>
      <c r="G15" s="175">
        <f>+FACTURACIÓN!K15</f>
        <v>0</v>
      </c>
      <c r="H15" s="175">
        <f>+FACTURACIÓN!L15</f>
        <v>0</v>
      </c>
      <c r="I15" s="175">
        <f>+FACTURACIÓN!M15</f>
        <v>45.15</v>
      </c>
      <c r="J15" s="175">
        <f>+FACTURACIÓN!N15</f>
        <v>0</v>
      </c>
      <c r="K15" s="175">
        <f>+FACTURACIÓN!O15</f>
        <v>636.52300000000014</v>
      </c>
      <c r="L15" s="175">
        <f t="shared" si="1"/>
        <v>681.67300000000012</v>
      </c>
      <c r="M15" s="133">
        <f t="shared" si="2"/>
        <v>4331.1270000000004</v>
      </c>
      <c r="N15" s="84"/>
      <c r="O15" s="117" t="s">
        <v>24</v>
      </c>
      <c r="P15" s="80" t="s">
        <v>25</v>
      </c>
      <c r="Q15" s="84"/>
      <c r="R15" s="84"/>
      <c r="BC15" s="192" t="s">
        <v>313</v>
      </c>
    </row>
    <row r="16" spans="1:55" x14ac:dyDescent="0.25">
      <c r="A16" s="174" t="s">
        <v>26</v>
      </c>
      <c r="B16" s="84" t="s">
        <v>27</v>
      </c>
      <c r="C16" s="175">
        <f>+FACTURACIÓN!H16-'C&amp;A'!H16</f>
        <v>7344.3499999999995</v>
      </c>
      <c r="D16" s="175">
        <f t="shared" si="0"/>
        <v>7344.3499999999995</v>
      </c>
      <c r="E16" s="175">
        <f>+FACTURACIÓN!I16</f>
        <v>0</v>
      </c>
      <c r="F16" s="175">
        <f>+FACTURACIÓN!J16</f>
        <v>0</v>
      </c>
      <c r="G16" s="175">
        <f>+FACTURACIÓN!K16</f>
        <v>0</v>
      </c>
      <c r="H16" s="175">
        <f>+FACTURACIÓN!L16</f>
        <v>0</v>
      </c>
      <c r="I16" s="175">
        <f>+FACTURACIÓN!M16</f>
        <v>45.15</v>
      </c>
      <c r="J16" s="175">
        <f>+FACTURACIÓN!N16</f>
        <v>0</v>
      </c>
      <c r="K16" s="175">
        <f>+FACTURACIÓN!O16</f>
        <v>869.67799999999988</v>
      </c>
      <c r="L16" s="175">
        <f t="shared" si="1"/>
        <v>914.82799999999986</v>
      </c>
      <c r="M16" s="133">
        <f t="shared" si="2"/>
        <v>6429.5219999999999</v>
      </c>
      <c r="N16" s="84"/>
      <c r="O16" s="117" t="s">
        <v>26</v>
      </c>
      <c r="P16" s="80" t="s">
        <v>27</v>
      </c>
      <c r="Q16" s="84"/>
      <c r="R16" s="84"/>
      <c r="BC16" s="192" t="s">
        <v>313</v>
      </c>
    </row>
    <row r="17" spans="1:56" x14ac:dyDescent="0.25">
      <c r="A17" s="174" t="s">
        <v>28</v>
      </c>
      <c r="B17" s="84" t="s">
        <v>29</v>
      </c>
      <c r="C17" s="175">
        <f>+FACTURACIÓN!H17-'C&amp;A'!H17</f>
        <v>5262.92</v>
      </c>
      <c r="D17" s="175">
        <f t="shared" si="0"/>
        <v>5262.92</v>
      </c>
      <c r="E17" s="175">
        <f>+FACTURACIÓN!I17</f>
        <v>0</v>
      </c>
      <c r="F17" s="175">
        <f>+FACTURACIÓN!J17</f>
        <v>0</v>
      </c>
      <c r="G17" s="175">
        <f>+FACTURACIÓN!K17</f>
        <v>0</v>
      </c>
      <c r="H17" s="175">
        <f>+FACTURACIÓN!L17</f>
        <v>0</v>
      </c>
      <c r="I17" s="175">
        <f>+FACTURACIÓN!M17</f>
        <v>45.15</v>
      </c>
      <c r="J17" s="175">
        <f>+FACTURACIÓN!N17</f>
        <v>0</v>
      </c>
      <c r="K17" s="175">
        <f>+FACTURACIÓN!O17</f>
        <v>645.48500000000013</v>
      </c>
      <c r="L17" s="175">
        <f t="shared" si="1"/>
        <v>690.6350000000001</v>
      </c>
      <c r="M17" s="133">
        <f t="shared" si="2"/>
        <v>4572.2849999999999</v>
      </c>
      <c r="N17" s="84"/>
      <c r="O17" s="117" t="s">
        <v>28</v>
      </c>
      <c r="P17" s="80" t="s">
        <v>29</v>
      </c>
      <c r="Q17" s="84"/>
      <c r="R17" s="84"/>
      <c r="BC17" s="192" t="s">
        <v>312</v>
      </c>
    </row>
    <row r="18" spans="1:56" x14ac:dyDescent="0.25">
      <c r="A18" s="174" t="s">
        <v>32</v>
      </c>
      <c r="B18" s="84" t="s">
        <v>33</v>
      </c>
      <c r="C18" s="175">
        <f>+FACTURACIÓN!H18-'C&amp;A'!H18</f>
        <v>1523.3763632955843</v>
      </c>
      <c r="D18" s="175">
        <f t="shared" si="0"/>
        <v>1523.3763632955843</v>
      </c>
      <c r="E18" s="175">
        <f>+FACTURACIÓN!I18</f>
        <v>0</v>
      </c>
      <c r="F18" s="175">
        <f>+FACTURACIÓN!J18</f>
        <v>0</v>
      </c>
      <c r="G18" s="175">
        <f>+FACTURACIÓN!K18</f>
        <v>0</v>
      </c>
      <c r="H18" s="175">
        <f>+FACTURACIÓN!L18</f>
        <v>0</v>
      </c>
      <c r="I18" s="175">
        <f>+FACTURACIÓN!M18</f>
        <v>45.15</v>
      </c>
      <c r="J18" s="175">
        <f>+FACTURACIÓN!N18</f>
        <v>0</v>
      </c>
      <c r="K18" s="175">
        <f>+FACTURACIÓN!O18</f>
        <v>0</v>
      </c>
      <c r="L18" s="175">
        <f t="shared" si="1"/>
        <v>45.15</v>
      </c>
      <c r="M18" s="133">
        <f t="shared" si="2"/>
        <v>1478.2263632955842</v>
      </c>
      <c r="N18" s="84"/>
      <c r="O18" s="117" t="s">
        <v>32</v>
      </c>
      <c r="P18" s="80" t="s">
        <v>33</v>
      </c>
      <c r="Q18" s="84"/>
      <c r="R18" s="84"/>
      <c r="BC18" s="192" t="s">
        <v>311</v>
      </c>
    </row>
    <row r="19" spans="1:56" x14ac:dyDescent="0.25">
      <c r="A19" s="174" t="s">
        <v>34</v>
      </c>
      <c r="B19" s="84" t="s">
        <v>35</v>
      </c>
      <c r="C19" s="175">
        <f>+FACTURACIÓN!H19-'C&amp;A'!H19</f>
        <v>1523.1763632955845</v>
      </c>
      <c r="D19" s="175">
        <f t="shared" si="0"/>
        <v>1523.1763632955845</v>
      </c>
      <c r="E19" s="175">
        <f>+FACTURACIÓN!I19</f>
        <v>0</v>
      </c>
      <c r="F19" s="175">
        <f>+FACTURACIÓN!J19</f>
        <v>0</v>
      </c>
      <c r="G19" s="175">
        <f>+FACTURACIÓN!K19</f>
        <v>0</v>
      </c>
      <c r="H19" s="175">
        <f>+FACTURACIÓN!L19</f>
        <v>0</v>
      </c>
      <c r="I19" s="175">
        <f>+FACTURACIÓN!M19</f>
        <v>45.15</v>
      </c>
      <c r="J19" s="175">
        <f>+FACTURACIÓN!N19</f>
        <v>0</v>
      </c>
      <c r="K19" s="175">
        <f>+FACTURACIÓN!O19</f>
        <v>0</v>
      </c>
      <c r="L19" s="175">
        <f t="shared" si="1"/>
        <v>45.15</v>
      </c>
      <c r="M19" s="133">
        <f t="shared" si="2"/>
        <v>1478.0263632955844</v>
      </c>
      <c r="N19" s="84"/>
      <c r="O19" s="117" t="s">
        <v>34</v>
      </c>
      <c r="P19" s="80" t="s">
        <v>35</v>
      </c>
      <c r="Q19" s="84"/>
      <c r="R19" s="84"/>
      <c r="BC19" s="192" t="s">
        <v>311</v>
      </c>
    </row>
    <row r="20" spans="1:56" x14ac:dyDescent="0.25">
      <c r="A20" s="174" t="s">
        <v>36</v>
      </c>
      <c r="B20" s="84" t="s">
        <v>37</v>
      </c>
      <c r="C20" s="175">
        <f>+FACTURACIÓN!H20-'C&amp;A'!H20</f>
        <v>2387.8405678096515</v>
      </c>
      <c r="D20" s="175">
        <f t="shared" si="0"/>
        <v>2387.8405678096515</v>
      </c>
      <c r="E20" s="175">
        <f>+FACTURACIÓN!I20</f>
        <v>0</v>
      </c>
      <c r="F20" s="175">
        <f>+FACTURACIÓN!J20</f>
        <v>0</v>
      </c>
      <c r="G20" s="175">
        <f>+FACTURACIÓN!K20</f>
        <v>0</v>
      </c>
      <c r="H20" s="175">
        <f>+FACTURACIÓN!L20</f>
        <v>0</v>
      </c>
      <c r="I20" s="175">
        <f>+FACTURACIÓN!M20</f>
        <v>45.15</v>
      </c>
      <c r="J20" s="175">
        <f>+FACTURACIÓN!N20</f>
        <v>1551.8</v>
      </c>
      <c r="K20" s="175">
        <f>+FACTURACIÓN!O20</f>
        <v>0</v>
      </c>
      <c r="L20" s="175">
        <f t="shared" si="1"/>
        <v>1596.95</v>
      </c>
      <c r="M20" s="133">
        <f t="shared" si="2"/>
        <v>790.89056780965143</v>
      </c>
      <c r="N20" s="84"/>
      <c r="O20" s="117" t="s">
        <v>36</v>
      </c>
      <c r="P20" s="80" t="s">
        <v>37</v>
      </c>
      <c r="Q20" s="84"/>
      <c r="R20" s="84"/>
      <c r="BC20" s="192" t="s">
        <v>311</v>
      </c>
    </row>
    <row r="21" spans="1:56" x14ac:dyDescent="0.25">
      <c r="A21" s="174" t="s">
        <v>38</v>
      </c>
      <c r="B21" s="84" t="s">
        <v>39</v>
      </c>
      <c r="C21" s="175">
        <f>+FACTURACIÓN!H21-'C&amp;A'!H21</f>
        <v>3762.8</v>
      </c>
      <c r="D21" s="175">
        <f t="shared" si="0"/>
        <v>3762.8</v>
      </c>
      <c r="E21" s="175">
        <f>+FACTURACIÓN!I21</f>
        <v>183.33</v>
      </c>
      <c r="F21" s="175">
        <f>+FACTURACIÓN!J21</f>
        <v>0</v>
      </c>
      <c r="G21" s="175">
        <f>+FACTURACIÓN!K21</f>
        <v>0</v>
      </c>
      <c r="H21" s="175">
        <f>+FACTURACIÓN!L21</f>
        <v>0</v>
      </c>
      <c r="I21" s="175">
        <f>+FACTURACIÓN!M21</f>
        <v>45.15</v>
      </c>
      <c r="J21" s="175">
        <f>+FACTURACIÓN!N21</f>
        <v>0</v>
      </c>
      <c r="K21" s="175">
        <f>+FACTURACIÓN!O21</f>
        <v>510.02200000000005</v>
      </c>
      <c r="L21" s="175">
        <f t="shared" si="1"/>
        <v>738.50200000000007</v>
      </c>
      <c r="M21" s="133">
        <f t="shared" si="2"/>
        <v>3024.2980000000002</v>
      </c>
      <c r="N21" s="84"/>
      <c r="O21" s="117" t="s">
        <v>38</v>
      </c>
      <c r="P21" s="80" t="s">
        <v>39</v>
      </c>
      <c r="Q21" s="84"/>
      <c r="R21" s="84"/>
      <c r="BC21" s="192" t="s">
        <v>312</v>
      </c>
    </row>
    <row r="22" spans="1:56" x14ac:dyDescent="0.25">
      <c r="A22" s="174" t="s">
        <v>40</v>
      </c>
      <c r="B22" s="84" t="s">
        <v>41</v>
      </c>
      <c r="C22" s="175">
        <f>+FACTURACIÓN!H22-'C&amp;A'!H22</f>
        <v>4262.8</v>
      </c>
      <c r="D22" s="175">
        <f t="shared" si="0"/>
        <v>4262.8</v>
      </c>
      <c r="E22" s="175">
        <f>+FACTURACIÓN!I22</f>
        <v>0</v>
      </c>
      <c r="F22" s="175">
        <f>+FACTURACIÓN!J22</f>
        <v>0</v>
      </c>
      <c r="G22" s="175">
        <f>+FACTURACIÓN!K22</f>
        <v>0</v>
      </c>
      <c r="H22" s="175">
        <f>+FACTURACIÓN!L22</f>
        <v>0</v>
      </c>
      <c r="I22" s="175">
        <f>+FACTURACIÓN!M22</f>
        <v>45.15</v>
      </c>
      <c r="J22" s="175">
        <f>+FACTURACIÓN!N22</f>
        <v>0</v>
      </c>
      <c r="K22" s="175">
        <f>+FACTURACIÓN!O22</f>
        <v>561.52300000000002</v>
      </c>
      <c r="L22" s="175">
        <f t="shared" si="1"/>
        <v>606.673</v>
      </c>
      <c r="M22" s="133">
        <f t="shared" si="2"/>
        <v>3656.1270000000004</v>
      </c>
      <c r="N22" s="84"/>
      <c r="O22" s="117" t="s">
        <v>40</v>
      </c>
      <c r="P22" s="80" t="s">
        <v>41</v>
      </c>
      <c r="Q22" s="84"/>
      <c r="R22" s="84"/>
      <c r="BC22" s="192" t="s">
        <v>311</v>
      </c>
    </row>
    <row r="23" spans="1:56" x14ac:dyDescent="0.25">
      <c r="A23" s="174"/>
      <c r="B23" s="121" t="s">
        <v>293</v>
      </c>
      <c r="C23" s="175">
        <f>+FACTURACIÓN!H23-'C&amp;A'!H23</f>
        <v>1908.173897131358</v>
      </c>
      <c r="D23" s="175">
        <f t="shared" si="0"/>
        <v>1908.173897131358</v>
      </c>
      <c r="E23" s="175">
        <f>+FACTURACIÓN!I23</f>
        <v>0</v>
      </c>
      <c r="F23" s="175">
        <f>+FACTURACIÓN!J23</f>
        <v>0</v>
      </c>
      <c r="G23" s="175">
        <f>+FACTURACIÓN!K23</f>
        <v>0</v>
      </c>
      <c r="H23" s="175">
        <f>+FACTURACIÓN!L23</f>
        <v>0</v>
      </c>
      <c r="I23" s="175">
        <f>+FACTURACIÓN!M23</f>
        <v>45.15</v>
      </c>
      <c r="J23" s="175">
        <f>+FACTURACIÓN!N23</f>
        <v>0</v>
      </c>
      <c r="K23" s="175">
        <f>+FACTURACIÓN!O23</f>
        <v>0</v>
      </c>
      <c r="L23" s="175">
        <f t="shared" si="1"/>
        <v>45.15</v>
      </c>
      <c r="M23" s="133">
        <f t="shared" si="2"/>
        <v>1863.0238971313579</v>
      </c>
      <c r="N23" s="84"/>
      <c r="O23" s="117"/>
      <c r="P23" s="121" t="s">
        <v>293</v>
      </c>
      <c r="Q23" s="84"/>
      <c r="R23" s="84"/>
      <c r="BC23" s="192" t="s">
        <v>314</v>
      </c>
    </row>
    <row r="24" spans="1:56" x14ac:dyDescent="0.25">
      <c r="A24" s="174" t="s">
        <v>42</v>
      </c>
      <c r="B24" s="84" t="s">
        <v>43</v>
      </c>
      <c r="C24" s="175">
        <f>+FACTURACIÓN!H24-'C&amp;A'!H24</f>
        <v>103827.48</v>
      </c>
      <c r="D24" s="175">
        <f t="shared" si="0"/>
        <v>103827.48</v>
      </c>
      <c r="E24" s="175">
        <f>+FACTURACIÓN!I24</f>
        <v>0</v>
      </c>
      <c r="F24" s="175">
        <f>+FACTURACIÓN!J24</f>
        <v>0</v>
      </c>
      <c r="G24" s="175">
        <f>+FACTURACIÓN!K24</f>
        <v>0</v>
      </c>
      <c r="H24" s="175">
        <f>+FACTURACIÓN!L24</f>
        <v>0</v>
      </c>
      <c r="I24" s="175">
        <f>+FACTURACIÓN!M24</f>
        <v>45.15</v>
      </c>
      <c r="J24" s="175">
        <f>+FACTURACIÓN!N24</f>
        <v>0</v>
      </c>
      <c r="K24" s="175">
        <f>+FACTURACIÓN!O24</f>
        <v>10501.953000000001</v>
      </c>
      <c r="L24" s="175">
        <f t="shared" si="1"/>
        <v>10547.103000000001</v>
      </c>
      <c r="M24" s="133">
        <f t="shared" si="2"/>
        <v>93280.376999999993</v>
      </c>
      <c r="N24" s="84"/>
      <c r="O24" s="117"/>
      <c r="P24" s="80" t="s">
        <v>43</v>
      </c>
      <c r="Q24" s="84"/>
      <c r="R24" s="84"/>
      <c r="BC24" s="192" t="s">
        <v>313</v>
      </c>
    </row>
    <row r="25" spans="1:56" x14ac:dyDescent="0.25">
      <c r="A25" s="174" t="s">
        <v>44</v>
      </c>
      <c r="B25" s="84" t="s">
        <v>45</v>
      </c>
      <c r="C25" s="175">
        <f>+FACTURACIÓN!H25-'C&amp;A'!H25</f>
        <v>2471.0776577358642</v>
      </c>
      <c r="D25" s="175">
        <f t="shared" si="0"/>
        <v>2471.0776577358642</v>
      </c>
      <c r="E25" s="175">
        <f>+FACTURACIÓN!I25</f>
        <v>0</v>
      </c>
      <c r="F25" s="175">
        <f>+FACTURACIÓN!J25</f>
        <v>0</v>
      </c>
      <c r="G25" s="175">
        <f>+FACTURACIÓN!K25</f>
        <v>0</v>
      </c>
      <c r="H25" s="175">
        <f>+FACTURACIÓN!L25</f>
        <v>0</v>
      </c>
      <c r="I25" s="175">
        <f>+FACTURACIÓN!M25</f>
        <v>45.15</v>
      </c>
      <c r="J25" s="175">
        <f>+FACTURACIÓN!N25</f>
        <v>0</v>
      </c>
      <c r="K25" s="175">
        <f>+FACTURACIÓN!O25</f>
        <v>0</v>
      </c>
      <c r="L25" s="175">
        <f t="shared" si="1"/>
        <v>45.15</v>
      </c>
      <c r="M25" s="133">
        <f t="shared" si="2"/>
        <v>2425.9276577358642</v>
      </c>
      <c r="N25" s="84"/>
      <c r="O25" s="117" t="s">
        <v>42</v>
      </c>
      <c r="P25" s="80" t="s">
        <v>45</v>
      </c>
      <c r="Q25" s="84"/>
      <c r="R25" s="84"/>
      <c r="BC25" s="192" t="s">
        <v>314</v>
      </c>
    </row>
    <row r="26" spans="1:56" x14ac:dyDescent="0.25">
      <c r="A26" s="174" t="s">
        <v>159</v>
      </c>
      <c r="B26" s="84" t="s">
        <v>154</v>
      </c>
      <c r="C26" s="175">
        <f>+FACTURACIÓN!H26-'C&amp;A'!H26</f>
        <v>3762.8</v>
      </c>
      <c r="D26" s="175">
        <f t="shared" si="0"/>
        <v>3762.8</v>
      </c>
      <c r="E26" s="175">
        <f>+FACTURACIÓN!I26</f>
        <v>0</v>
      </c>
      <c r="F26" s="175">
        <f>+FACTURACIÓN!J26</f>
        <v>0</v>
      </c>
      <c r="G26" s="175">
        <f>+FACTURACIÓN!K26</f>
        <v>0</v>
      </c>
      <c r="H26" s="175">
        <f>+FACTURACIÓN!L26</f>
        <v>0</v>
      </c>
      <c r="I26" s="175">
        <f>+FACTURACIÓN!M26</f>
        <v>45.15</v>
      </c>
      <c r="J26" s="175">
        <f>+FACTURACIÓN!N26</f>
        <v>0</v>
      </c>
      <c r="K26" s="175">
        <f>+FACTURACIÓN!O26</f>
        <v>511.52300000000008</v>
      </c>
      <c r="L26" s="175">
        <f t="shared" si="1"/>
        <v>556.67300000000012</v>
      </c>
      <c r="M26" s="133">
        <f t="shared" si="2"/>
        <v>3206.127</v>
      </c>
      <c r="N26" s="84"/>
      <c r="O26" s="117" t="s">
        <v>44</v>
      </c>
      <c r="P26" s="80" t="s">
        <v>154</v>
      </c>
      <c r="Q26" s="84"/>
      <c r="R26" s="84"/>
      <c r="BC26" s="192" t="s">
        <v>313</v>
      </c>
    </row>
    <row r="27" spans="1:56" s="178" customFormat="1" x14ac:dyDescent="0.25">
      <c r="A27" s="131" t="s">
        <v>46</v>
      </c>
      <c r="B27" s="178" t="s">
        <v>47</v>
      </c>
      <c r="C27" s="197">
        <f>+FACTURACIÓN!H27-'C&amp;A'!H27</f>
        <v>292.5</v>
      </c>
      <c r="D27" s="197">
        <f t="shared" si="0"/>
        <v>292.5</v>
      </c>
      <c r="E27" s="197">
        <f>+FACTURACIÓN!I27</f>
        <v>0</v>
      </c>
      <c r="F27" s="197">
        <f>+FACTURACIÓN!J27</f>
        <v>0</v>
      </c>
      <c r="G27" s="197">
        <f>+FACTURACIÓN!K27</f>
        <v>0</v>
      </c>
      <c r="H27" s="197">
        <f>+FACTURACIÓN!L27</f>
        <v>0</v>
      </c>
      <c r="I27" s="197">
        <f>+FACTURACIÓN!M27</f>
        <v>45.15</v>
      </c>
      <c r="J27" s="197">
        <f>+FACTURACIÓN!N27</f>
        <v>0</v>
      </c>
      <c r="K27" s="197">
        <f>+FACTURACIÓN!O27</f>
        <v>0</v>
      </c>
      <c r="L27" s="197">
        <f t="shared" si="1"/>
        <v>45.15</v>
      </c>
      <c r="M27" s="133">
        <f t="shared" si="2"/>
        <v>247.35</v>
      </c>
      <c r="O27" s="131" t="s">
        <v>159</v>
      </c>
      <c r="P27" s="80" t="s">
        <v>47</v>
      </c>
      <c r="R27" s="199"/>
      <c r="S27" s="199"/>
      <c r="T27" s="199"/>
      <c r="U27" s="199"/>
      <c r="V27" s="199"/>
      <c r="W27" s="199"/>
      <c r="BC27" s="194" t="s">
        <v>314</v>
      </c>
      <c r="BD27" s="178" t="s">
        <v>268</v>
      </c>
    </row>
    <row r="28" spans="1:56" x14ac:dyDescent="0.25">
      <c r="A28" s="174" t="s">
        <v>48</v>
      </c>
      <c r="B28" s="84" t="s">
        <v>49</v>
      </c>
      <c r="C28" s="175">
        <f>+FACTURACIÓN!H28-'C&amp;A'!H28</f>
        <v>21262.799999999999</v>
      </c>
      <c r="D28" s="175">
        <f t="shared" si="0"/>
        <v>21262.799999999999</v>
      </c>
      <c r="E28" s="175">
        <f>+FACTURACIÓN!I28</f>
        <v>0</v>
      </c>
      <c r="F28" s="175">
        <f>+FACTURACIÓN!J28</f>
        <v>479.28</v>
      </c>
      <c r="G28" s="175">
        <f>+FACTURACIÓN!K28</f>
        <v>0</v>
      </c>
      <c r="H28" s="175">
        <f>+FACTURACIÓN!L28</f>
        <v>0</v>
      </c>
      <c r="I28" s="175">
        <f>+FACTURACIÓN!M28</f>
        <v>45.15</v>
      </c>
      <c r="J28" s="175">
        <f>+FACTURACIÓN!N28</f>
        <v>323.91000000000003</v>
      </c>
      <c r="K28" s="175">
        <f>+FACTURACIÓN!O28</f>
        <v>2245.4850000000001</v>
      </c>
      <c r="L28" s="175">
        <f t="shared" si="1"/>
        <v>3093.8249999999998</v>
      </c>
      <c r="M28" s="133">
        <f t="shared" si="2"/>
        <v>18168.974999999999</v>
      </c>
      <c r="N28" s="84"/>
      <c r="O28" s="132" t="s">
        <v>46</v>
      </c>
      <c r="P28" s="80" t="s">
        <v>49</v>
      </c>
      <c r="Q28" s="84"/>
      <c r="R28" s="84"/>
      <c r="BC28" s="192" t="s">
        <v>312</v>
      </c>
    </row>
    <row r="29" spans="1:56" x14ac:dyDescent="0.25">
      <c r="A29" s="174" t="s">
        <v>50</v>
      </c>
      <c r="B29" s="84" t="s">
        <v>51</v>
      </c>
      <c r="C29" s="175">
        <f>+FACTURACIÓN!H29-'C&amp;A'!H29</f>
        <v>2387.9205678096519</v>
      </c>
      <c r="D29" s="175">
        <f t="shared" si="0"/>
        <v>2387.9205678096519</v>
      </c>
      <c r="E29" s="175">
        <f>+FACTURACIÓN!I29</f>
        <v>0</v>
      </c>
      <c r="F29" s="175">
        <f>+FACTURACIÓN!J29</f>
        <v>0</v>
      </c>
      <c r="G29" s="175">
        <f>+FACTURACIÓN!K29</f>
        <v>0</v>
      </c>
      <c r="H29" s="175">
        <f>+FACTURACIÓN!L29</f>
        <v>0</v>
      </c>
      <c r="I29" s="175">
        <f>+FACTURACIÓN!M29</f>
        <v>45.15</v>
      </c>
      <c r="J29" s="175">
        <f>+FACTURACIÓN!N29</f>
        <v>0</v>
      </c>
      <c r="K29" s="175">
        <f>+FACTURACIÓN!O29</f>
        <v>0</v>
      </c>
      <c r="L29" s="175">
        <f t="shared" si="1"/>
        <v>45.15</v>
      </c>
      <c r="M29" s="133">
        <f t="shared" si="2"/>
        <v>2342.7705678096518</v>
      </c>
      <c r="N29" s="84"/>
      <c r="O29" s="117" t="s">
        <v>48</v>
      </c>
      <c r="P29" s="80" t="s">
        <v>51</v>
      </c>
      <c r="Q29" s="84"/>
      <c r="R29" s="84"/>
      <c r="BC29" s="192" t="s">
        <v>313</v>
      </c>
    </row>
    <row r="30" spans="1:56" x14ac:dyDescent="0.25">
      <c r="A30" s="174" t="s">
        <v>52</v>
      </c>
      <c r="B30" s="84" t="s">
        <v>53</v>
      </c>
      <c r="C30" s="175">
        <f>+FACTURACIÓN!H30-'C&amp;A'!H30</f>
        <v>2762.8</v>
      </c>
      <c r="D30" s="175">
        <f t="shared" si="0"/>
        <v>2762.8</v>
      </c>
      <c r="E30" s="175">
        <f>+FACTURACIÓN!I30</f>
        <v>0</v>
      </c>
      <c r="F30" s="175">
        <f>+FACTURACIÓN!J30</f>
        <v>0</v>
      </c>
      <c r="G30" s="175">
        <f>+FACTURACIÓN!K30</f>
        <v>0</v>
      </c>
      <c r="H30" s="175">
        <f>+FACTURACIÓN!L30</f>
        <v>0</v>
      </c>
      <c r="I30" s="175">
        <f>+FACTURACIÓN!M30</f>
        <v>45.15</v>
      </c>
      <c r="J30" s="175">
        <f>+FACTURACIÓN!N30</f>
        <v>0</v>
      </c>
      <c r="K30" s="175">
        <f>+FACTURACIÓN!O30</f>
        <v>0</v>
      </c>
      <c r="L30" s="175">
        <f t="shared" si="1"/>
        <v>45.15</v>
      </c>
      <c r="M30" s="133">
        <f t="shared" si="2"/>
        <v>2717.65</v>
      </c>
      <c r="N30" s="84"/>
      <c r="O30" s="117" t="s">
        <v>50</v>
      </c>
      <c r="P30" s="80" t="s">
        <v>53</v>
      </c>
      <c r="Q30" s="84"/>
      <c r="R30" s="84"/>
      <c r="BC30" s="192" t="s">
        <v>311</v>
      </c>
    </row>
    <row r="31" spans="1:56" x14ac:dyDescent="0.25">
      <c r="A31" s="174" t="s">
        <v>54</v>
      </c>
      <c r="B31" s="84" t="s">
        <v>55</v>
      </c>
      <c r="C31" s="175">
        <f>+FACTURACIÓN!H31-'C&amp;A'!H31</f>
        <v>3936.8</v>
      </c>
      <c r="D31" s="175">
        <f t="shared" si="0"/>
        <v>3936.8</v>
      </c>
      <c r="E31" s="175">
        <f>+FACTURACIÓN!I31</f>
        <v>0</v>
      </c>
      <c r="F31" s="175">
        <f>+FACTURACIÓN!J31</f>
        <v>0</v>
      </c>
      <c r="G31" s="175">
        <f>+FACTURACIÓN!K31</f>
        <v>0</v>
      </c>
      <c r="H31" s="175">
        <f>+FACTURACIÓN!L31</f>
        <v>0</v>
      </c>
      <c r="I31" s="175">
        <f>+FACTURACIÓN!M31</f>
        <v>45.15</v>
      </c>
      <c r="J31" s="175">
        <f>+FACTURACIÓN!N31</f>
        <v>0</v>
      </c>
      <c r="K31" s="175">
        <f>+FACTURACIÓN!O31</f>
        <v>525.39700000000005</v>
      </c>
      <c r="L31" s="175">
        <f t="shared" si="1"/>
        <v>570.54700000000003</v>
      </c>
      <c r="M31" s="133">
        <f t="shared" si="2"/>
        <v>3366.2530000000002</v>
      </c>
      <c r="N31" s="84"/>
      <c r="O31" s="117" t="s">
        <v>52</v>
      </c>
      <c r="P31" s="80" t="s">
        <v>55</v>
      </c>
      <c r="Q31" s="84"/>
      <c r="R31" s="84"/>
      <c r="BC31" s="192" t="s">
        <v>314</v>
      </c>
    </row>
    <row r="32" spans="1:56" x14ac:dyDescent="0.25">
      <c r="A32" s="174" t="s">
        <v>160</v>
      </c>
      <c r="B32" s="84" t="s">
        <v>161</v>
      </c>
      <c r="C32" s="175">
        <f>+FACTURACIÓN!H32-'C&amp;A'!H32</f>
        <v>2762.8</v>
      </c>
      <c r="D32" s="175">
        <f t="shared" si="0"/>
        <v>2762.8</v>
      </c>
      <c r="E32" s="175">
        <f>+FACTURACIÓN!I32</f>
        <v>0</v>
      </c>
      <c r="F32" s="175">
        <f>+FACTURACIÓN!J32</f>
        <v>0</v>
      </c>
      <c r="G32" s="175">
        <f>+FACTURACIÓN!K32</f>
        <v>0</v>
      </c>
      <c r="H32" s="175">
        <f>+FACTURACIÓN!L32</f>
        <v>0</v>
      </c>
      <c r="I32" s="175">
        <f>+FACTURACIÓN!M32</f>
        <v>45.15</v>
      </c>
      <c r="J32" s="175">
        <f>+FACTURACIÓN!N32</f>
        <v>0</v>
      </c>
      <c r="K32" s="175">
        <f>+FACTURACIÓN!O32</f>
        <v>0</v>
      </c>
      <c r="L32" s="175">
        <f t="shared" si="1"/>
        <v>45.15</v>
      </c>
      <c r="M32" s="133">
        <f t="shared" si="2"/>
        <v>2717.65</v>
      </c>
      <c r="N32" s="84"/>
      <c r="O32" s="117" t="s">
        <v>54</v>
      </c>
      <c r="P32" s="80" t="s">
        <v>158</v>
      </c>
      <c r="Q32" s="84"/>
      <c r="R32" s="84"/>
      <c r="BC32" s="192" t="s">
        <v>311</v>
      </c>
    </row>
    <row r="33" spans="1:55" x14ac:dyDescent="0.25">
      <c r="A33" s="174" t="s">
        <v>56</v>
      </c>
      <c r="B33" s="84" t="s">
        <v>57</v>
      </c>
      <c r="C33" s="175">
        <f>+FACTURACIÓN!H33-'C&amp;A'!H33</f>
        <v>3012.8</v>
      </c>
      <c r="D33" s="175">
        <f t="shared" si="0"/>
        <v>3012.8</v>
      </c>
      <c r="E33" s="175">
        <f>+FACTURACIÓN!I33</f>
        <v>0</v>
      </c>
      <c r="F33" s="175">
        <f>+FACTURACIÓN!J33</f>
        <v>0</v>
      </c>
      <c r="G33" s="175">
        <f>+FACTURACIÓN!K33</f>
        <v>0</v>
      </c>
      <c r="H33" s="175">
        <f>+FACTURACIÓN!L33</f>
        <v>0</v>
      </c>
      <c r="I33" s="175">
        <f>+FACTURACIÓN!M33</f>
        <v>45.15</v>
      </c>
      <c r="J33" s="175">
        <f>+FACTURACIÓN!N33</f>
        <v>0</v>
      </c>
      <c r="K33" s="175">
        <f>+FACTURACIÓN!O33</f>
        <v>0</v>
      </c>
      <c r="L33" s="175">
        <f t="shared" si="1"/>
        <v>45.15</v>
      </c>
      <c r="M33" s="133">
        <f t="shared" si="2"/>
        <v>2967.65</v>
      </c>
      <c r="N33" s="84"/>
      <c r="O33" s="131" t="s">
        <v>160</v>
      </c>
      <c r="P33" s="80" t="s">
        <v>57</v>
      </c>
      <c r="Q33" s="84"/>
      <c r="R33" s="84"/>
      <c r="BC33" s="192" t="s">
        <v>312</v>
      </c>
    </row>
    <row r="34" spans="1:55" x14ac:dyDescent="0.25">
      <c r="A34" s="174" t="s">
        <v>58</v>
      </c>
      <c r="B34" s="84" t="s">
        <v>59</v>
      </c>
      <c r="C34" s="175">
        <f>+FACTURACIÓN!H34-'C&amp;A'!H34</f>
        <v>2392.9205678096519</v>
      </c>
      <c r="D34" s="175">
        <f t="shared" si="0"/>
        <v>2392.9205678096519</v>
      </c>
      <c r="E34" s="175">
        <f>+FACTURACIÓN!I34</f>
        <v>0</v>
      </c>
      <c r="F34" s="175">
        <f>+FACTURACIÓN!J34</f>
        <v>0</v>
      </c>
      <c r="G34" s="175">
        <f>+FACTURACIÓN!K34</f>
        <v>0</v>
      </c>
      <c r="H34" s="175">
        <f>+FACTURACIÓN!L34</f>
        <v>0</v>
      </c>
      <c r="I34" s="175">
        <f>+FACTURACIÓN!M34</f>
        <v>45.15</v>
      </c>
      <c r="J34" s="175">
        <f>+FACTURACIÓN!N34</f>
        <v>0</v>
      </c>
      <c r="K34" s="175">
        <f>+FACTURACIÓN!O34</f>
        <v>0</v>
      </c>
      <c r="L34" s="175">
        <f t="shared" si="1"/>
        <v>45.15</v>
      </c>
      <c r="M34" s="133">
        <f t="shared" si="2"/>
        <v>2347.7705678096518</v>
      </c>
      <c r="N34" s="84"/>
      <c r="O34" s="117" t="s">
        <v>56</v>
      </c>
      <c r="P34" s="80" t="s">
        <v>59</v>
      </c>
      <c r="Q34" s="84"/>
      <c r="R34" s="84"/>
      <c r="BC34" s="192" t="s">
        <v>311</v>
      </c>
    </row>
    <row r="35" spans="1:55" x14ac:dyDescent="0.25">
      <c r="A35" s="174" t="s">
        <v>60</v>
      </c>
      <c r="B35" s="84" t="s">
        <v>61</v>
      </c>
      <c r="C35" s="175">
        <f>+FACTURACIÓN!H35-'C&amp;A'!H35</f>
        <v>1373.7763632955848</v>
      </c>
      <c r="D35" s="175">
        <f t="shared" si="0"/>
        <v>1373.7763632955848</v>
      </c>
      <c r="E35" s="175">
        <f>+FACTURACIÓN!I35</f>
        <v>0</v>
      </c>
      <c r="F35" s="175">
        <f>+FACTURACIÓN!J35</f>
        <v>0</v>
      </c>
      <c r="G35" s="175">
        <f>+FACTURACIÓN!K35</f>
        <v>0</v>
      </c>
      <c r="H35" s="175">
        <f>+FACTURACIÓN!L35</f>
        <v>0</v>
      </c>
      <c r="I35" s="175">
        <f>+FACTURACIÓN!M35</f>
        <v>45.15</v>
      </c>
      <c r="J35" s="175">
        <f>+FACTURACIÓN!N35</f>
        <v>0</v>
      </c>
      <c r="K35" s="175">
        <f>+FACTURACIÓN!O35</f>
        <v>0</v>
      </c>
      <c r="L35" s="175">
        <f t="shared" si="1"/>
        <v>45.15</v>
      </c>
      <c r="M35" s="133">
        <f t="shared" si="2"/>
        <v>1328.6263632955847</v>
      </c>
      <c r="N35" s="84"/>
      <c r="O35" s="117" t="s">
        <v>58</v>
      </c>
      <c r="P35" s="80" t="s">
        <v>61</v>
      </c>
      <c r="Q35" s="84"/>
      <c r="R35" s="84"/>
      <c r="BC35" s="192" t="s">
        <v>314</v>
      </c>
    </row>
    <row r="36" spans="1:55" x14ac:dyDescent="0.25">
      <c r="A36" s="174" t="s">
        <v>62</v>
      </c>
      <c r="B36" s="84" t="s">
        <v>63</v>
      </c>
      <c r="C36" s="175">
        <f>+FACTURACIÓN!H36-'C&amp;A'!H36</f>
        <v>2762.8</v>
      </c>
      <c r="D36" s="175">
        <f t="shared" si="0"/>
        <v>2762.8</v>
      </c>
      <c r="E36" s="175">
        <f>+FACTURACIÓN!I36</f>
        <v>0</v>
      </c>
      <c r="F36" s="175">
        <f>+FACTURACIÓN!J36</f>
        <v>0</v>
      </c>
      <c r="G36" s="175">
        <f>+FACTURACIÓN!K36</f>
        <v>0</v>
      </c>
      <c r="H36" s="175">
        <f>+FACTURACIÓN!L36</f>
        <v>0</v>
      </c>
      <c r="I36" s="175">
        <f>+FACTURACIÓN!M36</f>
        <v>45.15</v>
      </c>
      <c r="J36" s="175">
        <f>+FACTURACIÓN!N36</f>
        <v>313.89999999999998</v>
      </c>
      <c r="K36" s="175">
        <f>+FACTURACIÓN!O36</f>
        <v>0</v>
      </c>
      <c r="L36" s="175">
        <f t="shared" si="1"/>
        <v>359.04999999999995</v>
      </c>
      <c r="M36" s="133">
        <f t="shared" si="2"/>
        <v>2403.75</v>
      </c>
      <c r="N36" s="84"/>
      <c r="O36" s="117" t="s">
        <v>60</v>
      </c>
      <c r="P36" s="80" t="s">
        <v>63</v>
      </c>
      <c r="Q36" s="84"/>
      <c r="R36" s="84"/>
      <c r="BC36" s="192" t="s">
        <v>313</v>
      </c>
    </row>
    <row r="37" spans="1:55" x14ac:dyDescent="0.25">
      <c r="A37" s="174" t="s">
        <v>64</v>
      </c>
      <c r="B37" s="84" t="s">
        <v>65</v>
      </c>
      <c r="C37" s="175">
        <f>+FACTURACIÓN!H37-'C&amp;A'!H37</f>
        <v>1839.903897131358</v>
      </c>
      <c r="D37" s="175">
        <f t="shared" si="0"/>
        <v>1839.903897131358</v>
      </c>
      <c r="E37" s="175">
        <f>+FACTURACIÓN!I37</f>
        <v>0</v>
      </c>
      <c r="F37" s="175">
        <f>+FACTURACIÓN!J37</f>
        <v>0</v>
      </c>
      <c r="G37" s="175">
        <f>+FACTURACIÓN!K37</f>
        <v>0</v>
      </c>
      <c r="H37" s="175">
        <f>+FACTURACIÓN!L37</f>
        <v>0</v>
      </c>
      <c r="I37" s="175">
        <f>+FACTURACIÓN!M37</f>
        <v>45.15</v>
      </c>
      <c r="J37" s="175">
        <f>+FACTURACIÓN!N37</f>
        <v>215.92</v>
      </c>
      <c r="K37" s="175">
        <f>+FACTURACIÓN!O37</f>
        <v>0</v>
      </c>
      <c r="L37" s="175">
        <f t="shared" si="1"/>
        <v>261.07</v>
      </c>
      <c r="M37" s="133">
        <f t="shared" si="2"/>
        <v>1578.8338971313581</v>
      </c>
      <c r="N37" s="84"/>
      <c r="O37" s="117" t="s">
        <v>62</v>
      </c>
      <c r="P37" s="80" t="s">
        <v>65</v>
      </c>
      <c r="Q37" s="84"/>
      <c r="R37" s="84"/>
      <c r="BC37" s="192" t="s">
        <v>314</v>
      </c>
    </row>
    <row r="38" spans="1:55" x14ac:dyDescent="0.25">
      <c r="A38" s="174" t="s">
        <v>66</v>
      </c>
      <c r="B38" s="84" t="s">
        <v>67</v>
      </c>
      <c r="C38" s="175">
        <f>+FACTURACIÓN!H38-'C&amp;A'!H38</f>
        <v>13802.779999999999</v>
      </c>
      <c r="D38" s="175">
        <f t="shared" si="0"/>
        <v>13802.779999999999</v>
      </c>
      <c r="E38" s="175">
        <f>+FACTURACIÓN!I38</f>
        <v>0</v>
      </c>
      <c r="F38" s="175">
        <f>+FACTURACIÓN!J38</f>
        <v>0</v>
      </c>
      <c r="G38" s="175">
        <f>+FACTURACIÓN!K38</f>
        <v>0</v>
      </c>
      <c r="H38" s="175">
        <f>+FACTURACIÓN!L38</f>
        <v>0</v>
      </c>
      <c r="I38" s="175">
        <f>+FACTURACIÓN!M38</f>
        <v>45.15</v>
      </c>
      <c r="J38" s="175">
        <f>+FACTURACIÓN!N38</f>
        <v>0</v>
      </c>
      <c r="K38" s="175">
        <f>+FACTURACIÓN!O38</f>
        <v>1518.356</v>
      </c>
      <c r="L38" s="175">
        <f t="shared" si="1"/>
        <v>1563.5060000000001</v>
      </c>
      <c r="M38" s="133">
        <f t="shared" si="2"/>
        <v>12239.273999999999</v>
      </c>
      <c r="N38" s="84"/>
      <c r="O38" s="117" t="s">
        <v>64</v>
      </c>
      <c r="P38" s="80" t="s">
        <v>67</v>
      </c>
      <c r="Q38" s="84"/>
      <c r="R38" s="84"/>
      <c r="BC38" s="192" t="s">
        <v>313</v>
      </c>
    </row>
    <row r="39" spans="1:55" x14ac:dyDescent="0.25">
      <c r="A39" s="174" t="s">
        <v>68</v>
      </c>
      <c r="B39" s="84" t="s">
        <v>69</v>
      </c>
      <c r="C39" s="175">
        <f>+FACTURACIÓN!H39-'C&amp;A'!H39</f>
        <v>5012.8</v>
      </c>
      <c r="D39" s="175">
        <f t="shared" si="0"/>
        <v>5012.8</v>
      </c>
      <c r="E39" s="175">
        <f>+FACTURACIÓN!I39</f>
        <v>183.33</v>
      </c>
      <c r="F39" s="175">
        <f>+FACTURACIÓN!J39</f>
        <v>0</v>
      </c>
      <c r="G39" s="175">
        <f>+FACTURACIÓN!K39</f>
        <v>0</v>
      </c>
      <c r="H39" s="175">
        <f>+FACTURACIÓN!L39</f>
        <v>0</v>
      </c>
      <c r="I39" s="175">
        <f>+FACTURACIÓN!M39</f>
        <v>45.15</v>
      </c>
      <c r="J39" s="175">
        <f>+FACTURACIÓN!N39</f>
        <v>0</v>
      </c>
      <c r="K39" s="175">
        <f>+FACTURACIÓN!O39</f>
        <v>635.02200000000005</v>
      </c>
      <c r="L39" s="175">
        <f t="shared" si="1"/>
        <v>863.50200000000007</v>
      </c>
      <c r="M39" s="133">
        <f t="shared" si="2"/>
        <v>4149.2979999999998</v>
      </c>
      <c r="N39" s="84"/>
      <c r="O39" s="117" t="s">
        <v>66</v>
      </c>
      <c r="P39" s="80" t="s">
        <v>69</v>
      </c>
      <c r="Q39" s="84"/>
      <c r="R39" s="84"/>
      <c r="BC39" s="192" t="s">
        <v>311</v>
      </c>
    </row>
    <row r="40" spans="1:55" x14ac:dyDescent="0.25">
      <c r="A40" s="174" t="s">
        <v>70</v>
      </c>
      <c r="B40" s="84" t="s">
        <v>71</v>
      </c>
      <c r="C40" s="175">
        <f>+FACTURACIÓN!H40-'C&amp;A'!H40</f>
        <v>27376.92</v>
      </c>
      <c r="D40" s="175">
        <f t="shared" si="0"/>
        <v>27376.92</v>
      </c>
      <c r="E40" s="175">
        <f>+FACTURACIÓN!I40</f>
        <v>0</v>
      </c>
      <c r="F40" s="175">
        <f>+FACTURACIÓN!J40</f>
        <v>0</v>
      </c>
      <c r="G40" s="175">
        <f>+FACTURACIÓN!K40</f>
        <v>0</v>
      </c>
      <c r="H40" s="175">
        <f>+FACTURACIÓN!L40</f>
        <v>0</v>
      </c>
      <c r="I40" s="175">
        <f>+FACTURACIÓN!M40</f>
        <v>45.15</v>
      </c>
      <c r="J40" s="175">
        <f>+FACTURACIÓN!N40</f>
        <v>357.22</v>
      </c>
      <c r="K40" s="175">
        <f>+FACTURACIÓN!O40</f>
        <v>2869.4089999999997</v>
      </c>
      <c r="L40" s="175">
        <f t="shared" si="1"/>
        <v>3271.7789999999995</v>
      </c>
      <c r="M40" s="133">
        <f t="shared" si="2"/>
        <v>24105.141</v>
      </c>
      <c r="N40" s="84"/>
      <c r="O40" s="117" t="s">
        <v>68</v>
      </c>
      <c r="P40" s="80" t="s">
        <v>71</v>
      </c>
      <c r="Q40" s="84"/>
      <c r="R40" s="84"/>
      <c r="BC40" s="192" t="s">
        <v>313</v>
      </c>
    </row>
    <row r="41" spans="1:55" x14ac:dyDescent="0.25">
      <c r="A41" s="174" t="s">
        <v>72</v>
      </c>
      <c r="B41" s="84" t="s">
        <v>73</v>
      </c>
      <c r="C41" s="175">
        <f>+FACTURACIÓN!H41-'C&amp;A'!H41</f>
        <v>3497.8</v>
      </c>
      <c r="D41" s="175">
        <f t="shared" si="0"/>
        <v>3497.8</v>
      </c>
      <c r="E41" s="175">
        <f>+FACTURACIÓN!I41</f>
        <v>0</v>
      </c>
      <c r="F41" s="175">
        <f>+FACTURACIÓN!J41</f>
        <v>0</v>
      </c>
      <c r="G41" s="175">
        <f>+FACTURACIÓN!K41</f>
        <v>0</v>
      </c>
      <c r="H41" s="175">
        <f>+FACTURACIÓN!L41</f>
        <v>0</v>
      </c>
      <c r="I41" s="175">
        <f>+FACTURACIÓN!M41</f>
        <v>45.15</v>
      </c>
      <c r="J41" s="175">
        <f>+FACTURACIÓN!N41</f>
        <v>0</v>
      </c>
      <c r="K41" s="175">
        <f>+FACTURACIÓN!O41</f>
        <v>487.858</v>
      </c>
      <c r="L41" s="175">
        <f t="shared" si="1"/>
        <v>533.00800000000004</v>
      </c>
      <c r="M41" s="133">
        <f t="shared" si="2"/>
        <v>2964.7920000000004</v>
      </c>
      <c r="N41" s="84"/>
      <c r="O41" s="117" t="s">
        <v>70</v>
      </c>
      <c r="P41" s="80" t="s">
        <v>73</v>
      </c>
      <c r="Q41" s="84"/>
      <c r="R41" s="84"/>
      <c r="BC41" s="192" t="s">
        <v>311</v>
      </c>
    </row>
    <row r="42" spans="1:55" x14ac:dyDescent="0.25">
      <c r="A42" s="174" t="s">
        <v>155</v>
      </c>
      <c r="B42" s="84" t="s">
        <v>156</v>
      </c>
      <c r="C42" s="175">
        <f>+FACTURACIÓN!H42-'C&amp;A'!H42</f>
        <v>4312.8</v>
      </c>
      <c r="D42" s="175">
        <f t="shared" si="0"/>
        <v>4312.8</v>
      </c>
      <c r="E42" s="175">
        <f>+FACTURACIÓN!I42</f>
        <v>0</v>
      </c>
      <c r="F42" s="175">
        <f>+FACTURACIÓN!J42</f>
        <v>0</v>
      </c>
      <c r="G42" s="175">
        <f>+FACTURACIÓN!K42</f>
        <v>0</v>
      </c>
      <c r="H42" s="175">
        <f>+FACTURACIÓN!L42</f>
        <v>0</v>
      </c>
      <c r="I42" s="175">
        <f>+FACTURACIÓN!M42</f>
        <v>45.15</v>
      </c>
      <c r="J42" s="175">
        <f>+FACTURACIÓN!N42</f>
        <v>0</v>
      </c>
      <c r="K42" s="175">
        <f>+FACTURACIÓN!O42</f>
        <v>550.48500000000001</v>
      </c>
      <c r="L42" s="175">
        <f t="shared" si="1"/>
        <v>595.63499999999999</v>
      </c>
      <c r="M42" s="133">
        <f t="shared" si="2"/>
        <v>3717.165</v>
      </c>
      <c r="N42" s="84"/>
      <c r="O42" s="117" t="s">
        <v>72</v>
      </c>
      <c r="P42" s="80" t="s">
        <v>156</v>
      </c>
      <c r="Q42" s="84"/>
      <c r="R42" s="84"/>
      <c r="BC42" s="192" t="s">
        <v>316</v>
      </c>
    </row>
    <row r="43" spans="1:55" x14ac:dyDescent="0.25">
      <c r="A43" s="174" t="s">
        <v>74</v>
      </c>
      <c r="B43" s="84" t="s">
        <v>75</v>
      </c>
      <c r="C43" s="175">
        <f>+FACTURACIÓN!H43-'C&amp;A'!H43</f>
        <v>3150.6000000000004</v>
      </c>
      <c r="D43" s="175">
        <f t="shared" si="0"/>
        <v>3150.6000000000004</v>
      </c>
      <c r="E43" s="175">
        <f>+FACTURACIÓN!I43</f>
        <v>0</v>
      </c>
      <c r="F43" s="175">
        <f>+FACTURACIÓN!J43</f>
        <v>0</v>
      </c>
      <c r="G43" s="175">
        <f>+FACTURACIÓN!K43</f>
        <v>0</v>
      </c>
      <c r="H43" s="175">
        <f>+FACTURACIÓN!L43</f>
        <v>0</v>
      </c>
      <c r="I43" s="175">
        <f>+FACTURACIÓN!M43</f>
        <v>45.15</v>
      </c>
      <c r="J43" s="175">
        <f>+FACTURACIÓN!N43</f>
        <v>0</v>
      </c>
      <c r="K43" s="175">
        <f>+FACTURACIÓN!O43</f>
        <v>0</v>
      </c>
      <c r="L43" s="175">
        <f t="shared" si="1"/>
        <v>45.15</v>
      </c>
      <c r="M43" s="133">
        <f t="shared" si="2"/>
        <v>3105.4500000000003</v>
      </c>
      <c r="N43" s="84"/>
      <c r="O43" s="117" t="s">
        <v>155</v>
      </c>
      <c r="P43" s="80" t="s">
        <v>75</v>
      </c>
      <c r="Q43" s="84"/>
      <c r="R43" s="84"/>
      <c r="BC43" s="192" t="s">
        <v>314</v>
      </c>
    </row>
    <row r="44" spans="1:55" x14ac:dyDescent="0.25">
      <c r="A44" s="174" t="s">
        <v>76</v>
      </c>
      <c r="B44" s="84" t="s">
        <v>77</v>
      </c>
      <c r="C44" s="175">
        <f>+FACTURACIÓN!H44-'C&amp;A'!H44</f>
        <v>128.49166394402118</v>
      </c>
      <c r="D44" s="175">
        <f t="shared" si="0"/>
        <v>128.49166394402118</v>
      </c>
      <c r="E44" s="175">
        <f>+FACTURACIÓN!I44</f>
        <v>0</v>
      </c>
      <c r="F44" s="175">
        <f>+FACTURACIÓN!J44</f>
        <v>0</v>
      </c>
      <c r="G44" s="175">
        <f>+FACTURACIÓN!K44</f>
        <v>0</v>
      </c>
      <c r="H44" s="175">
        <f>+FACTURACIÓN!L44</f>
        <v>0</v>
      </c>
      <c r="I44" s="175">
        <f>+FACTURACIÓN!M44</f>
        <v>45.15</v>
      </c>
      <c r="J44" s="175">
        <f>+FACTURACIÓN!N44</f>
        <v>0</v>
      </c>
      <c r="K44" s="175">
        <f>+FACTURACIÓN!O44</f>
        <v>0</v>
      </c>
      <c r="L44" s="175">
        <f t="shared" si="1"/>
        <v>45.15</v>
      </c>
      <c r="M44" s="133">
        <f t="shared" si="2"/>
        <v>83.341663944021178</v>
      </c>
      <c r="N44" s="84"/>
      <c r="O44" s="117" t="s">
        <v>74</v>
      </c>
      <c r="P44" s="80" t="s">
        <v>77</v>
      </c>
      <c r="Q44" s="84"/>
      <c r="R44" s="84"/>
      <c r="BC44" s="192" t="s">
        <v>311</v>
      </c>
    </row>
    <row r="45" spans="1:55" x14ac:dyDescent="0.25">
      <c r="A45" s="174" t="s">
        <v>78</v>
      </c>
      <c r="B45" s="84" t="s">
        <v>79</v>
      </c>
      <c r="C45" s="175">
        <f>+FACTURACIÓN!H45-'C&amp;A'!H45</f>
        <v>27708.45</v>
      </c>
      <c r="D45" s="175">
        <f t="shared" si="0"/>
        <v>27708.45</v>
      </c>
      <c r="E45" s="175">
        <f>+FACTURACIÓN!I45</f>
        <v>0</v>
      </c>
      <c r="F45" s="175">
        <f>+FACTURACIÓN!J45</f>
        <v>0</v>
      </c>
      <c r="G45" s="175">
        <f>+FACTURACIÓN!K45</f>
        <v>0</v>
      </c>
      <c r="H45" s="175">
        <f>+FACTURACIÓN!L45</f>
        <v>0</v>
      </c>
      <c r="I45" s="175">
        <f>+FACTURACIÓN!M45</f>
        <v>45.15</v>
      </c>
      <c r="J45" s="175">
        <f>+FACTURACIÓN!N45</f>
        <v>878.82</v>
      </c>
      <c r="K45" s="175">
        <f>+FACTURACIÓN!O45</f>
        <v>2902.5619999999999</v>
      </c>
      <c r="L45" s="175">
        <f t="shared" si="1"/>
        <v>3826.5320000000002</v>
      </c>
      <c r="M45" s="133">
        <f t="shared" si="2"/>
        <v>23881.918000000001</v>
      </c>
      <c r="N45" s="84"/>
      <c r="O45" s="117" t="s">
        <v>76</v>
      </c>
      <c r="P45" s="80" t="s">
        <v>79</v>
      </c>
      <c r="Q45" s="84"/>
      <c r="R45" s="84"/>
      <c r="BC45" s="192" t="s">
        <v>317</v>
      </c>
    </row>
    <row r="46" spans="1:55" x14ac:dyDescent="0.25">
      <c r="A46" s="174" t="s">
        <v>80</v>
      </c>
      <c r="B46" s="84" t="s">
        <v>81</v>
      </c>
      <c r="C46" s="175">
        <f>+FACTURACIÓN!H46-'C&amp;A'!H46</f>
        <v>53426.8</v>
      </c>
      <c r="D46" s="175">
        <f t="shared" si="0"/>
        <v>53426.8</v>
      </c>
      <c r="E46" s="175">
        <f>+FACTURACIÓN!I46</f>
        <v>0</v>
      </c>
      <c r="F46" s="175">
        <f>+FACTURACIÓN!J46</f>
        <v>0</v>
      </c>
      <c r="G46" s="175">
        <f>+FACTURACIÓN!K46</f>
        <v>0</v>
      </c>
      <c r="H46" s="175">
        <f>+FACTURACIÓN!L46</f>
        <v>0</v>
      </c>
      <c r="I46" s="175">
        <f>+FACTURACIÓN!M46</f>
        <v>45.15</v>
      </c>
      <c r="J46" s="175">
        <f>+FACTURACIÓN!N46</f>
        <v>0</v>
      </c>
      <c r="K46" s="175">
        <f>+FACTURACIÓN!O46</f>
        <v>5474.3970000000008</v>
      </c>
      <c r="L46" s="175">
        <f t="shared" si="1"/>
        <v>5519.5470000000005</v>
      </c>
      <c r="M46" s="133">
        <f t="shared" si="2"/>
        <v>47907.253000000004</v>
      </c>
      <c r="N46" s="84"/>
      <c r="O46" s="117" t="s">
        <v>78</v>
      </c>
      <c r="P46" s="80" t="s">
        <v>81</v>
      </c>
      <c r="Q46" s="84"/>
      <c r="R46" s="84"/>
      <c r="BC46" s="192" t="s">
        <v>313</v>
      </c>
    </row>
    <row r="47" spans="1:55" x14ac:dyDescent="0.25">
      <c r="A47" s="174" t="s">
        <v>82</v>
      </c>
      <c r="B47" s="84" t="s">
        <v>83</v>
      </c>
      <c r="C47" s="175">
        <f>+FACTURACIÓN!H47-'C&amp;A'!H47</f>
        <v>12799.75</v>
      </c>
      <c r="D47" s="175">
        <f t="shared" si="0"/>
        <v>12799.75</v>
      </c>
      <c r="E47" s="175">
        <f>+FACTURACIÓN!I47</f>
        <v>0</v>
      </c>
      <c r="F47" s="175">
        <f>+FACTURACIÓN!J47</f>
        <v>0</v>
      </c>
      <c r="G47" s="175">
        <f>+FACTURACIÓN!K47</f>
        <v>0</v>
      </c>
      <c r="H47" s="175">
        <f>+FACTURACIÓN!L47</f>
        <v>0</v>
      </c>
      <c r="I47" s="175">
        <f>+FACTURACIÓN!M47</f>
        <v>45.15</v>
      </c>
      <c r="J47" s="175">
        <f>+FACTURACIÓN!N47</f>
        <v>0</v>
      </c>
      <c r="K47" s="175">
        <f>+FACTURACIÓN!O47</f>
        <v>1399.1800000000003</v>
      </c>
      <c r="L47" s="175">
        <f t="shared" si="1"/>
        <v>1444.3300000000004</v>
      </c>
      <c r="M47" s="133">
        <f t="shared" si="2"/>
        <v>11355.42</v>
      </c>
      <c r="N47" s="84"/>
      <c r="O47" s="117" t="s">
        <v>80</v>
      </c>
      <c r="P47" s="80" t="s">
        <v>83</v>
      </c>
      <c r="Q47" s="84"/>
      <c r="R47" s="84"/>
      <c r="BC47" s="192" t="s">
        <v>311</v>
      </c>
    </row>
    <row r="48" spans="1:55" s="176" customFormat="1" x14ac:dyDescent="0.25">
      <c r="A48" s="174" t="s">
        <v>162</v>
      </c>
      <c r="B48" s="84" t="s">
        <v>157</v>
      </c>
      <c r="C48" s="175">
        <f>+FACTURACIÓN!H48-'C&amp;A'!H48</f>
        <v>39877.86</v>
      </c>
      <c r="D48" s="175">
        <f t="shared" si="0"/>
        <v>39877.86</v>
      </c>
      <c r="E48" s="175">
        <f>+FACTURACIÓN!I48</f>
        <v>0</v>
      </c>
      <c r="F48" s="175">
        <f>+FACTURACIÓN!J48</f>
        <v>0</v>
      </c>
      <c r="G48" s="175">
        <f>+FACTURACIÓN!K48</f>
        <v>0</v>
      </c>
      <c r="H48" s="175">
        <f>+FACTURACIÓN!L48</f>
        <v>0</v>
      </c>
      <c r="I48" s="175">
        <f>+FACTURACIÓN!M48</f>
        <v>45.15</v>
      </c>
      <c r="J48" s="175">
        <f>+FACTURACIÓN!N48</f>
        <v>0</v>
      </c>
      <c r="K48" s="175">
        <f>+FACTURACIÓN!O48</f>
        <v>4106.9880000000003</v>
      </c>
      <c r="L48" s="175">
        <f t="shared" si="1"/>
        <v>4152.1379999999999</v>
      </c>
      <c r="M48" s="133">
        <f t="shared" si="2"/>
        <v>35725.722000000002</v>
      </c>
      <c r="O48" s="117" t="s">
        <v>82</v>
      </c>
      <c r="P48" s="80" t="s">
        <v>157</v>
      </c>
      <c r="BC48" s="193" t="s">
        <v>311</v>
      </c>
    </row>
    <row r="49" spans="1:55" x14ac:dyDescent="0.25">
      <c r="A49" s="177" t="s">
        <v>86</v>
      </c>
      <c r="B49" s="176" t="s">
        <v>87</v>
      </c>
      <c r="C49" s="175">
        <f>+FACTURACIÓN!H49-'C&amp;A'!H49</f>
        <v>9744.7799999999988</v>
      </c>
      <c r="D49" s="175">
        <f t="shared" si="0"/>
        <v>9744.7799999999988</v>
      </c>
      <c r="E49" s="175">
        <f>+FACTURACIÓN!I49</f>
        <v>0</v>
      </c>
      <c r="F49" s="175">
        <f>+FACTURACIÓN!J49</f>
        <v>0</v>
      </c>
      <c r="G49" s="175">
        <f>+FACTURACIÓN!K49</f>
        <v>0</v>
      </c>
      <c r="H49" s="175">
        <f>+FACTURACIÓN!L49</f>
        <v>0</v>
      </c>
      <c r="I49" s="175">
        <f>+FACTURACIÓN!M49</f>
        <v>45.15</v>
      </c>
      <c r="J49" s="175">
        <f>+FACTURACIÓN!N49</f>
        <v>1280.0899999999999</v>
      </c>
      <c r="K49" s="175">
        <f>+FACTURACIÓN!O49</f>
        <v>1112.556</v>
      </c>
      <c r="L49" s="175">
        <f t="shared" si="1"/>
        <v>2437.7960000000003</v>
      </c>
      <c r="M49" s="133">
        <f t="shared" si="2"/>
        <v>7306.9839999999986</v>
      </c>
      <c r="N49" s="84"/>
      <c r="O49" s="131" t="s">
        <v>162</v>
      </c>
      <c r="P49" s="80" t="s">
        <v>87</v>
      </c>
      <c r="Q49" s="84"/>
      <c r="R49" s="84"/>
      <c r="BC49" s="192" t="s">
        <v>314</v>
      </c>
    </row>
    <row r="50" spans="1:55" x14ac:dyDescent="0.25">
      <c r="A50" s="174" t="s">
        <v>88</v>
      </c>
      <c r="B50" s="84" t="s">
        <v>89</v>
      </c>
      <c r="C50" s="175">
        <f>+FACTURACIÓN!H50-'C&amp;A'!H50</f>
        <v>4943.6899999999996</v>
      </c>
      <c r="D50" s="175">
        <f t="shared" si="0"/>
        <v>4943.6899999999996</v>
      </c>
      <c r="E50" s="175">
        <f>+FACTURACIÓN!I50</f>
        <v>0</v>
      </c>
      <c r="F50" s="175">
        <f>+FACTURACIÓN!J50</f>
        <v>0</v>
      </c>
      <c r="G50" s="175">
        <f>+FACTURACIÓN!K50</f>
        <v>0</v>
      </c>
      <c r="H50" s="175">
        <f>+FACTURACIÓN!L50</f>
        <v>0</v>
      </c>
      <c r="I50" s="175">
        <f>+FACTURACIÓN!M50</f>
        <v>45.15</v>
      </c>
      <c r="J50" s="175">
        <f>+FACTURACIÓN!N50</f>
        <v>0</v>
      </c>
      <c r="K50" s="175">
        <f>+FACTURACIÓN!O50</f>
        <v>626.06600000000003</v>
      </c>
      <c r="L50" s="175">
        <f t="shared" si="1"/>
        <v>671.21600000000001</v>
      </c>
      <c r="M50" s="133">
        <f t="shared" si="2"/>
        <v>4272.4739999999993</v>
      </c>
      <c r="N50" s="84"/>
      <c r="O50" s="117" t="s">
        <v>86</v>
      </c>
      <c r="P50" s="80" t="s">
        <v>89</v>
      </c>
      <c r="Q50" s="84"/>
      <c r="R50" s="84"/>
      <c r="BC50" s="192" t="s">
        <v>314</v>
      </c>
    </row>
    <row r="51" spans="1:55" x14ac:dyDescent="0.25">
      <c r="A51" s="174" t="s">
        <v>90</v>
      </c>
      <c r="B51" s="84" t="s">
        <v>91</v>
      </c>
      <c r="C51" s="175">
        <f>+FACTURACIÓN!H51-'C&amp;A'!H51</f>
        <v>3070.04</v>
      </c>
      <c r="D51" s="175">
        <f t="shared" si="0"/>
        <v>3070.04</v>
      </c>
      <c r="E51" s="175">
        <f>+FACTURACIÓN!I51</f>
        <v>0</v>
      </c>
      <c r="F51" s="175">
        <f>+FACTURACIÓN!J51</f>
        <v>0</v>
      </c>
      <c r="G51" s="175">
        <f>+FACTURACIÓN!K51</f>
        <v>0</v>
      </c>
      <c r="H51" s="175">
        <f>+FACTURACIÓN!L51</f>
        <v>0</v>
      </c>
      <c r="I51" s="175">
        <f>+FACTURACIÓN!M51</f>
        <v>45.15</v>
      </c>
      <c r="J51" s="175">
        <f>+FACTURACIÓN!N51</f>
        <v>0</v>
      </c>
      <c r="K51" s="175">
        <f>+FACTURACIÓN!O51</f>
        <v>0</v>
      </c>
      <c r="L51" s="175">
        <f t="shared" si="1"/>
        <v>45.15</v>
      </c>
      <c r="M51" s="133">
        <f t="shared" si="2"/>
        <v>3024.89</v>
      </c>
      <c r="N51" s="84"/>
      <c r="O51" s="117" t="s">
        <v>88</v>
      </c>
      <c r="P51" s="80" t="s">
        <v>91</v>
      </c>
      <c r="Q51" s="84"/>
      <c r="R51" s="84"/>
      <c r="BC51" s="192" t="s">
        <v>314</v>
      </c>
    </row>
    <row r="52" spans="1:55" x14ac:dyDescent="0.25">
      <c r="A52" s="174" t="s">
        <v>92</v>
      </c>
      <c r="B52" s="84" t="s">
        <v>93</v>
      </c>
      <c r="C52" s="175">
        <f>+FACTURACIÓN!H52-'C&amp;A'!H52</f>
        <v>5892.38</v>
      </c>
      <c r="D52" s="175">
        <f t="shared" si="0"/>
        <v>5892.38</v>
      </c>
      <c r="E52" s="175">
        <f>+FACTURACIÓN!I52</f>
        <v>0</v>
      </c>
      <c r="F52" s="175">
        <f>+FACTURACIÓN!J52</f>
        <v>0</v>
      </c>
      <c r="G52" s="175">
        <f>+FACTURACIÓN!K52</f>
        <v>0</v>
      </c>
      <c r="H52" s="175">
        <f>+FACTURACIÓN!L52</f>
        <v>0</v>
      </c>
      <c r="I52" s="175">
        <f>+FACTURACIÓN!M52</f>
        <v>45.15</v>
      </c>
      <c r="J52" s="175">
        <f>+FACTURACIÓN!N52</f>
        <v>0</v>
      </c>
      <c r="K52" s="175">
        <f>+FACTURACIÓN!O52</f>
        <v>727.31600000000003</v>
      </c>
      <c r="L52" s="175">
        <f t="shared" si="1"/>
        <v>772.46600000000001</v>
      </c>
      <c r="M52" s="133">
        <f t="shared" si="2"/>
        <v>5119.9139999999998</v>
      </c>
      <c r="N52" s="84"/>
      <c r="O52" s="117" t="s">
        <v>90</v>
      </c>
      <c r="P52" s="80" t="s">
        <v>93</v>
      </c>
      <c r="Q52" s="84"/>
      <c r="R52" s="84"/>
      <c r="BC52" s="192" t="s">
        <v>315</v>
      </c>
    </row>
    <row r="53" spans="1:55" x14ac:dyDescent="0.25">
      <c r="A53" s="174" t="s">
        <v>94</v>
      </c>
      <c r="B53" s="84" t="s">
        <v>95</v>
      </c>
      <c r="C53" s="175">
        <f>+FACTURACIÓN!H53-'C&amp;A'!H53</f>
        <v>3762.8</v>
      </c>
      <c r="D53" s="175">
        <f t="shared" si="0"/>
        <v>3762.8</v>
      </c>
      <c r="E53" s="175">
        <f>+FACTURACIÓN!I53</f>
        <v>0</v>
      </c>
      <c r="F53" s="175">
        <f>+FACTURACIÓN!J53</f>
        <v>0</v>
      </c>
      <c r="G53" s="175">
        <f>+FACTURACIÓN!K53</f>
        <v>0</v>
      </c>
      <c r="H53" s="175">
        <f>+FACTURACIÓN!L53</f>
        <v>0</v>
      </c>
      <c r="I53" s="175">
        <f>+FACTURACIÓN!M53</f>
        <v>45.15</v>
      </c>
      <c r="J53" s="175">
        <f>+FACTURACIÓN!N53</f>
        <v>0</v>
      </c>
      <c r="K53" s="175">
        <f>+FACTURACIÓN!O53</f>
        <v>514.35800000000006</v>
      </c>
      <c r="L53" s="175">
        <f t="shared" si="1"/>
        <v>559.50800000000004</v>
      </c>
      <c r="M53" s="133">
        <f t="shared" si="2"/>
        <v>3203.2920000000004</v>
      </c>
      <c r="N53" s="84"/>
      <c r="O53" s="117" t="s">
        <v>92</v>
      </c>
      <c r="P53" s="80" t="s">
        <v>95</v>
      </c>
      <c r="Q53" s="84"/>
      <c r="R53" s="84"/>
      <c r="BC53" s="192" t="s">
        <v>311</v>
      </c>
    </row>
    <row r="54" spans="1:55" x14ac:dyDescent="0.25">
      <c r="A54" s="174"/>
      <c r="B54" s="121" t="s">
        <v>301</v>
      </c>
      <c r="C54" s="175">
        <f>+FACTURACIÓN!H54-'C&amp;A'!H54</f>
        <v>1908.173897131358</v>
      </c>
      <c r="D54" s="175">
        <f t="shared" si="0"/>
        <v>1908.173897131358</v>
      </c>
      <c r="E54" s="175">
        <f>+FACTURACIÓN!I54</f>
        <v>0</v>
      </c>
      <c r="F54" s="175">
        <f>+FACTURACIÓN!J54</f>
        <v>0</v>
      </c>
      <c r="G54" s="175">
        <f>+FACTURACIÓN!K54</f>
        <v>0</v>
      </c>
      <c r="H54" s="175">
        <f>+FACTURACIÓN!L54</f>
        <v>0</v>
      </c>
      <c r="I54" s="175">
        <f>+FACTURACIÓN!M54</f>
        <v>45.15</v>
      </c>
      <c r="J54" s="175">
        <f>+FACTURACIÓN!N54</f>
        <v>0</v>
      </c>
      <c r="K54" s="175">
        <f>+FACTURACIÓN!O54</f>
        <v>0</v>
      </c>
      <c r="L54" s="175">
        <f t="shared" si="1"/>
        <v>45.15</v>
      </c>
      <c r="M54" s="133">
        <f t="shared" si="2"/>
        <v>1863.0238971313579</v>
      </c>
      <c r="N54" s="84"/>
      <c r="O54" s="117" t="s">
        <v>94</v>
      </c>
      <c r="P54" s="121" t="s">
        <v>301</v>
      </c>
      <c r="Q54" s="84"/>
      <c r="R54" s="84"/>
      <c r="BC54" s="192" t="s">
        <v>314</v>
      </c>
    </row>
    <row r="55" spans="1:55" x14ac:dyDescent="0.25">
      <c r="A55" s="174" t="s">
        <v>96</v>
      </c>
      <c r="B55" s="84" t="s">
        <v>97</v>
      </c>
      <c r="C55" s="175">
        <f>+FACTURACIÓN!H55-'C&amp;A'!H55</f>
        <v>4894.8</v>
      </c>
      <c r="D55" s="175">
        <f t="shared" si="0"/>
        <v>4894.8</v>
      </c>
      <c r="E55" s="175">
        <f>+FACTURACIÓN!I55</f>
        <v>0</v>
      </c>
      <c r="F55" s="175">
        <f>+FACTURACIÓN!J55</f>
        <v>0</v>
      </c>
      <c r="G55" s="175">
        <f>+FACTURACIÓN!K55</f>
        <v>0</v>
      </c>
      <c r="H55" s="175">
        <f>+FACTURACIÓN!L55</f>
        <v>0</v>
      </c>
      <c r="I55" s="175">
        <f>+FACTURACIÓN!M55</f>
        <v>45.15</v>
      </c>
      <c r="J55" s="175">
        <f>+FACTURACIÓN!N55</f>
        <v>0</v>
      </c>
      <c r="K55" s="175">
        <f>+FACTURACIÓN!O55</f>
        <v>621.19700000000012</v>
      </c>
      <c r="L55" s="175">
        <f t="shared" si="1"/>
        <v>666.34700000000009</v>
      </c>
      <c r="M55" s="133">
        <f t="shared" si="2"/>
        <v>4228.4530000000004</v>
      </c>
      <c r="N55" s="84"/>
      <c r="O55" s="117"/>
      <c r="P55" s="80" t="s">
        <v>97</v>
      </c>
      <c r="Q55" s="84"/>
      <c r="R55" s="84"/>
      <c r="BC55" s="192" t="s">
        <v>314</v>
      </c>
    </row>
    <row r="56" spans="1:55" x14ac:dyDescent="0.25">
      <c r="A56" s="174" t="s">
        <v>98</v>
      </c>
      <c r="B56" s="84" t="s">
        <v>99</v>
      </c>
      <c r="C56" s="175">
        <f>+FACTURACIÓN!H56-'C&amp;A'!H56</f>
        <v>5079.8900000000003</v>
      </c>
      <c r="D56" s="175">
        <f t="shared" si="0"/>
        <v>5079.8900000000003</v>
      </c>
      <c r="E56" s="175">
        <f>+FACTURACIÓN!I56</f>
        <v>0</v>
      </c>
      <c r="F56" s="175">
        <f>+FACTURACIÓN!J56</f>
        <v>0</v>
      </c>
      <c r="G56" s="175">
        <f>+FACTURACIÓN!K56</f>
        <v>0</v>
      </c>
      <c r="H56" s="175">
        <f>+FACTURACIÓN!L56</f>
        <v>0</v>
      </c>
      <c r="I56" s="175">
        <f>+FACTURACIÓN!M56</f>
        <v>45.15</v>
      </c>
      <c r="J56" s="175">
        <f>+FACTURACIÓN!N56</f>
        <v>340.56</v>
      </c>
      <c r="K56" s="175">
        <f>+FACTURACIÓN!O56</f>
        <v>627.19400000000007</v>
      </c>
      <c r="L56" s="175">
        <f t="shared" si="1"/>
        <v>1012.904</v>
      </c>
      <c r="M56" s="133">
        <f t="shared" si="2"/>
        <v>4066.9860000000003</v>
      </c>
      <c r="N56" s="84"/>
      <c r="O56" s="117" t="s">
        <v>96</v>
      </c>
      <c r="P56" s="80" t="s">
        <v>99</v>
      </c>
      <c r="Q56" s="84"/>
      <c r="R56" s="84"/>
      <c r="BC56" s="192" t="s">
        <v>314</v>
      </c>
    </row>
    <row r="57" spans="1:55" s="178" customFormat="1" x14ac:dyDescent="0.25">
      <c r="A57" s="174" t="s">
        <v>100</v>
      </c>
      <c r="B57" s="84" t="s">
        <v>101</v>
      </c>
      <c r="C57" s="175">
        <f>+FACTURACIÓN!H57-'C&amp;A'!H57</f>
        <v>11470.060000000001</v>
      </c>
      <c r="D57" s="175">
        <f t="shared" si="0"/>
        <v>11470.060000000001</v>
      </c>
      <c r="E57" s="175">
        <f>+FACTURACIÓN!I57</f>
        <v>0</v>
      </c>
      <c r="F57" s="175">
        <f>+FACTURACIÓN!J57</f>
        <v>0</v>
      </c>
      <c r="G57" s="175">
        <f>+FACTURACIÓN!K57</f>
        <v>0</v>
      </c>
      <c r="H57" s="175">
        <f>+FACTURACIÓN!L57</f>
        <v>0</v>
      </c>
      <c r="I57" s="175">
        <f>+FACTURACIÓN!M57</f>
        <v>45.15</v>
      </c>
      <c r="J57" s="175">
        <f>+FACTURACIÓN!N57</f>
        <v>0</v>
      </c>
      <c r="K57" s="175">
        <f>+FACTURACIÓN!O57</f>
        <v>1285.0840000000001</v>
      </c>
      <c r="L57" s="175">
        <f t="shared" si="1"/>
        <v>1330.2340000000002</v>
      </c>
      <c r="M57" s="133">
        <f t="shared" si="2"/>
        <v>10139.826000000001</v>
      </c>
      <c r="N57" s="84"/>
      <c r="O57" s="117" t="s">
        <v>98</v>
      </c>
      <c r="P57" s="80" t="s">
        <v>101</v>
      </c>
      <c r="BC57" s="194" t="s">
        <v>311</v>
      </c>
    </row>
    <row r="58" spans="1:55" s="179" customFormat="1" x14ac:dyDescent="0.25">
      <c r="A58" s="174" t="s">
        <v>102</v>
      </c>
      <c r="B58" s="84" t="s">
        <v>103</v>
      </c>
      <c r="C58" s="175">
        <f>+FACTURACIÓN!H58-'C&amp;A'!H58</f>
        <v>22171.63</v>
      </c>
      <c r="D58" s="175">
        <f t="shared" si="0"/>
        <v>22171.63</v>
      </c>
      <c r="E58" s="175">
        <f>+FACTURACIÓN!I58</f>
        <v>0</v>
      </c>
      <c r="F58" s="175">
        <f>+FACTURACIÓN!J58</f>
        <v>0</v>
      </c>
      <c r="G58" s="175">
        <f>+FACTURACIÓN!K58</f>
        <v>0</v>
      </c>
      <c r="H58" s="175">
        <f>+FACTURACIÓN!L58</f>
        <v>0</v>
      </c>
      <c r="I58" s="175">
        <f>+FACTURACIÓN!M58</f>
        <v>45.15</v>
      </c>
      <c r="J58" s="175">
        <f>+FACTURACIÓN!N58</f>
        <v>0</v>
      </c>
      <c r="K58" s="175">
        <f>+FACTURACIÓN!O58</f>
        <v>2348.88</v>
      </c>
      <c r="L58" s="175">
        <f t="shared" si="1"/>
        <v>2394.0300000000002</v>
      </c>
      <c r="M58" s="133">
        <f t="shared" si="2"/>
        <v>19777.600000000002</v>
      </c>
      <c r="N58" s="178"/>
      <c r="O58" s="117" t="s">
        <v>100</v>
      </c>
      <c r="P58" s="80" t="s">
        <v>103</v>
      </c>
      <c r="BC58" s="195" t="s">
        <v>315</v>
      </c>
    </row>
    <row r="59" spans="1:55" x14ac:dyDescent="0.25">
      <c r="A59" s="131" t="s">
        <v>104</v>
      </c>
      <c r="B59" s="178" t="s">
        <v>105</v>
      </c>
      <c r="C59" s="175">
        <f>+FACTURACIÓN!H59-'C&amp;A'!H59</f>
        <v>11262.8</v>
      </c>
      <c r="D59" s="175">
        <f t="shared" si="0"/>
        <v>11262.8</v>
      </c>
      <c r="E59" s="175">
        <f>+FACTURACIÓN!I59</f>
        <v>0</v>
      </c>
      <c r="F59" s="175">
        <f>+FACTURACIÓN!J59</f>
        <v>0</v>
      </c>
      <c r="G59" s="175">
        <f>+FACTURACIÓN!K59</f>
        <v>117.81</v>
      </c>
      <c r="H59" s="175">
        <f>+FACTURACIÓN!L59</f>
        <v>0</v>
      </c>
      <c r="I59" s="175">
        <f>+FACTURACIÓN!M59</f>
        <v>45.15</v>
      </c>
      <c r="J59" s="175">
        <f>+FACTURACIÓN!N59</f>
        <v>0</v>
      </c>
      <c r="K59" s="175">
        <f>+FACTURACIÓN!O59</f>
        <v>1245.4850000000001</v>
      </c>
      <c r="L59" s="175">
        <f t="shared" si="1"/>
        <v>1408.4450000000002</v>
      </c>
      <c r="M59" s="133">
        <f t="shared" si="2"/>
        <v>9854.3549999999996</v>
      </c>
      <c r="N59" s="179"/>
      <c r="O59" s="117" t="s">
        <v>102</v>
      </c>
      <c r="P59" s="80" t="s">
        <v>105</v>
      </c>
      <c r="Q59" s="84"/>
      <c r="R59" s="84"/>
      <c r="BC59" s="192" t="s">
        <v>312</v>
      </c>
    </row>
    <row r="60" spans="1:55" x14ac:dyDescent="0.25">
      <c r="A60" s="174" t="s">
        <v>106</v>
      </c>
      <c r="B60" s="84" t="s">
        <v>107</v>
      </c>
      <c r="C60" s="175">
        <f>+FACTURACIÓN!H60-'C&amp;A'!H60</f>
        <v>11244.779999999999</v>
      </c>
      <c r="D60" s="175">
        <f t="shared" si="0"/>
        <v>11244.779999999999</v>
      </c>
      <c r="E60" s="175">
        <f>+FACTURACIÓN!I60</f>
        <v>0</v>
      </c>
      <c r="F60" s="175">
        <f>+FACTURACIÓN!J60</f>
        <v>0</v>
      </c>
      <c r="G60" s="175">
        <f>+FACTURACIÓN!K60</f>
        <v>0</v>
      </c>
      <c r="H60" s="175">
        <f>+FACTURACIÓN!L60</f>
        <v>0</v>
      </c>
      <c r="I60" s="175">
        <f>+FACTURACIÓN!M60</f>
        <v>45.15</v>
      </c>
      <c r="J60" s="175">
        <f>+FACTURACIÓN!N60</f>
        <v>741.3</v>
      </c>
      <c r="K60" s="175">
        <f>+FACTURACIÓN!O60</f>
        <v>1256.1950000000002</v>
      </c>
      <c r="L60" s="175">
        <f t="shared" si="1"/>
        <v>2042.645</v>
      </c>
      <c r="M60" s="133">
        <f t="shared" si="2"/>
        <v>9202.1349999999984</v>
      </c>
      <c r="N60" s="84"/>
      <c r="O60" s="117" t="s">
        <v>104</v>
      </c>
      <c r="P60" s="80" t="s">
        <v>107</v>
      </c>
      <c r="Q60" s="84"/>
      <c r="R60" s="84"/>
      <c r="BC60" s="192" t="s">
        <v>314</v>
      </c>
    </row>
    <row r="61" spans="1:55" x14ac:dyDescent="0.25">
      <c r="A61" s="174" t="s">
        <v>108</v>
      </c>
      <c r="B61" s="84" t="s">
        <v>109</v>
      </c>
      <c r="C61" s="175">
        <f>+FACTURACIÓN!H61-'C&amp;A'!H61</f>
        <v>8640.0400000000009</v>
      </c>
      <c r="D61" s="175">
        <f t="shared" si="0"/>
        <v>8640.0400000000009</v>
      </c>
      <c r="E61" s="175">
        <f>+FACTURACIÓN!I61</f>
        <v>0</v>
      </c>
      <c r="F61" s="175">
        <f>+FACTURACIÓN!J61</f>
        <v>0</v>
      </c>
      <c r="G61" s="175">
        <f>+FACTURACIÓN!K61</f>
        <v>0</v>
      </c>
      <c r="H61" s="175">
        <f>+FACTURACIÓN!L61</f>
        <v>0</v>
      </c>
      <c r="I61" s="175">
        <f>+FACTURACIÓN!M61</f>
        <v>45.15</v>
      </c>
      <c r="J61" s="175">
        <f>+FACTURACIÓN!N61</f>
        <v>0</v>
      </c>
      <c r="K61" s="175">
        <f>+FACTURACIÓN!O61</f>
        <v>997.72600000000023</v>
      </c>
      <c r="L61" s="175">
        <f t="shared" si="1"/>
        <v>1042.8760000000002</v>
      </c>
      <c r="M61" s="133">
        <f t="shared" si="2"/>
        <v>7597.1640000000007</v>
      </c>
      <c r="N61" s="84"/>
      <c r="O61" s="117" t="s">
        <v>106</v>
      </c>
      <c r="P61" s="80" t="s">
        <v>109</v>
      </c>
      <c r="Q61" s="84"/>
      <c r="R61" s="84"/>
      <c r="BC61" s="192" t="s">
        <v>311</v>
      </c>
    </row>
    <row r="62" spans="1:55" x14ac:dyDescent="0.25">
      <c r="A62" s="174" t="s">
        <v>110</v>
      </c>
      <c r="B62" s="84" t="s">
        <v>111</v>
      </c>
      <c r="C62" s="175">
        <f>+FACTURACIÓN!H62-'C&amp;A'!H62</f>
        <v>5162.8</v>
      </c>
      <c r="D62" s="175">
        <f t="shared" si="0"/>
        <v>5162.8</v>
      </c>
      <c r="E62" s="175">
        <f>+FACTURACIÓN!I62</f>
        <v>0</v>
      </c>
      <c r="F62" s="175">
        <f>+FACTURACIÓN!J62</f>
        <v>0</v>
      </c>
      <c r="G62" s="175">
        <f>+FACTURACIÓN!K62</f>
        <v>0</v>
      </c>
      <c r="H62" s="175">
        <f>+FACTURACIÓN!L62</f>
        <v>0</v>
      </c>
      <c r="I62" s="175">
        <f>+FACTURACIÓN!M62</f>
        <v>45.15</v>
      </c>
      <c r="J62" s="175">
        <f>+FACTURACIÓN!N62</f>
        <v>0</v>
      </c>
      <c r="K62" s="175">
        <f>+FACTURACIÓN!O62</f>
        <v>635.48500000000013</v>
      </c>
      <c r="L62" s="175">
        <f t="shared" si="1"/>
        <v>680.6350000000001</v>
      </c>
      <c r="M62" s="133">
        <f t="shared" si="2"/>
        <v>4482.165</v>
      </c>
      <c r="N62" s="84"/>
      <c r="O62" s="117" t="s">
        <v>108</v>
      </c>
      <c r="P62" s="80" t="s">
        <v>111</v>
      </c>
      <c r="Q62" s="84"/>
      <c r="R62" s="84"/>
      <c r="BC62" s="192" t="s">
        <v>314</v>
      </c>
    </row>
    <row r="63" spans="1:55" x14ac:dyDescent="0.25">
      <c r="A63" s="174" t="s">
        <v>112</v>
      </c>
      <c r="B63" s="84" t="s">
        <v>113</v>
      </c>
      <c r="C63" s="175">
        <f>+FACTURACIÓN!H63-'C&amp;A'!H63</f>
        <v>1908.3738971313578</v>
      </c>
      <c r="D63" s="175">
        <f t="shared" si="0"/>
        <v>1908.3738971313578</v>
      </c>
      <c r="E63" s="175">
        <f>+FACTURACIÓN!I63</f>
        <v>0</v>
      </c>
      <c r="F63" s="175">
        <f>+FACTURACIÓN!J63</f>
        <v>0</v>
      </c>
      <c r="G63" s="175">
        <f>+FACTURACIÓN!K63</f>
        <v>0</v>
      </c>
      <c r="H63" s="175">
        <f>+FACTURACIÓN!L63</f>
        <v>0</v>
      </c>
      <c r="I63" s="175">
        <f>+FACTURACIÓN!M63</f>
        <v>45.15</v>
      </c>
      <c r="J63" s="175">
        <f>+FACTURACIÓN!N63</f>
        <v>0</v>
      </c>
      <c r="K63" s="175">
        <f>+FACTURACIÓN!O63</f>
        <v>0</v>
      </c>
      <c r="L63" s="175">
        <f t="shared" si="1"/>
        <v>45.15</v>
      </c>
      <c r="M63" s="133">
        <f t="shared" si="2"/>
        <v>1863.2238971313577</v>
      </c>
      <c r="N63" s="84"/>
      <c r="O63" s="117" t="s">
        <v>110</v>
      </c>
      <c r="P63" s="80" t="s">
        <v>113</v>
      </c>
      <c r="Q63" s="84"/>
      <c r="R63" s="84"/>
      <c r="BC63" s="192" t="s">
        <v>314</v>
      </c>
    </row>
    <row r="64" spans="1:55" x14ac:dyDescent="0.25">
      <c r="A64" s="174" t="s">
        <v>114</v>
      </c>
      <c r="B64" s="84" t="s">
        <v>115</v>
      </c>
      <c r="C64" s="175">
        <f>+FACTURACIÓN!H64-'C&amp;A'!H64</f>
        <v>11120.89</v>
      </c>
      <c r="D64" s="175">
        <f t="shared" si="0"/>
        <v>11120.89</v>
      </c>
      <c r="E64" s="175">
        <f>+FACTURACIÓN!I64</f>
        <v>0</v>
      </c>
      <c r="F64" s="175">
        <f>+FACTURACIÓN!J64</f>
        <v>0</v>
      </c>
      <c r="G64" s="175">
        <f>+FACTURACIÓN!K64</f>
        <v>0</v>
      </c>
      <c r="H64" s="175">
        <f>+FACTURACIÓN!L64</f>
        <v>0</v>
      </c>
      <c r="I64" s="175">
        <f>+FACTURACIÓN!M64</f>
        <v>45.15</v>
      </c>
      <c r="J64" s="175">
        <f>+FACTURACIÓN!N64</f>
        <v>335.19</v>
      </c>
      <c r="K64" s="175">
        <f>+FACTURACIÓN!O64</f>
        <v>1248.7720000000002</v>
      </c>
      <c r="L64" s="175">
        <f t="shared" si="1"/>
        <v>1629.1120000000001</v>
      </c>
      <c r="M64" s="133">
        <f t="shared" si="2"/>
        <v>9491.7779999999984</v>
      </c>
      <c r="N64" s="84"/>
      <c r="O64" s="117" t="s">
        <v>112</v>
      </c>
      <c r="P64" s="80" t="s">
        <v>115</v>
      </c>
      <c r="Q64" s="84"/>
      <c r="R64" s="84"/>
      <c r="BC64" s="192" t="s">
        <v>317</v>
      </c>
    </row>
    <row r="65" spans="1:55" x14ac:dyDescent="0.25">
      <c r="A65" s="174" t="s">
        <v>116</v>
      </c>
      <c r="B65" s="84" t="s">
        <v>117</v>
      </c>
      <c r="C65" s="175">
        <f>+FACTURACIÓN!H65-'C&amp;A'!H65</f>
        <v>1229</v>
      </c>
      <c r="D65" s="175">
        <f>SUM(C65)</f>
        <v>1229</v>
      </c>
      <c r="E65" s="175">
        <f>+FACTURACIÓN!I65</f>
        <v>0</v>
      </c>
      <c r="F65" s="175">
        <f>+FACTURACIÓN!J65</f>
        <v>0</v>
      </c>
      <c r="G65" s="175">
        <f>+FACTURACIÓN!K65</f>
        <v>0</v>
      </c>
      <c r="H65" s="175">
        <f>+FACTURACIÓN!L65</f>
        <v>0</v>
      </c>
      <c r="I65" s="175">
        <f>+FACTURACIÓN!M65</f>
        <v>45.15</v>
      </c>
      <c r="J65" s="175">
        <f>+FACTURACIÓN!N65</f>
        <v>303.79000000000002</v>
      </c>
      <c r="K65" s="175">
        <f>+FACTURACIÓN!O65</f>
        <v>0</v>
      </c>
      <c r="L65" s="175">
        <f t="shared" si="1"/>
        <v>348.94</v>
      </c>
      <c r="M65" s="133">
        <f t="shared" si="2"/>
        <v>880.06</v>
      </c>
      <c r="N65" s="84"/>
      <c r="O65" s="117" t="s">
        <v>114</v>
      </c>
      <c r="P65" s="80" t="s">
        <v>117</v>
      </c>
      <c r="Q65" s="84"/>
      <c r="R65" s="84"/>
      <c r="BC65" s="192" t="s">
        <v>314</v>
      </c>
    </row>
    <row r="66" spans="1:55" x14ac:dyDescent="0.25">
      <c r="A66" s="80"/>
      <c r="B66" s="80"/>
      <c r="C66" s="80"/>
      <c r="D66" s="80"/>
      <c r="E66" s="80"/>
      <c r="F66" s="180"/>
      <c r="G66" s="80"/>
      <c r="H66" s="80"/>
      <c r="I66" s="80"/>
      <c r="J66" s="80"/>
      <c r="K66" s="80"/>
      <c r="L66" s="80"/>
      <c r="M66" s="80"/>
      <c r="N66" s="84"/>
      <c r="O66" s="84"/>
      <c r="P66" s="84"/>
      <c r="Q66" s="84"/>
      <c r="R66" s="84"/>
      <c r="BC66" s="192"/>
    </row>
    <row r="67" spans="1:55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4"/>
      <c r="O67" s="84"/>
      <c r="P67" s="84"/>
      <c r="Q67" s="84"/>
      <c r="R67" s="84"/>
      <c r="BC67" s="192"/>
    </row>
    <row r="68" spans="1:55" x14ac:dyDescent="0.25">
      <c r="A68" s="181"/>
      <c r="B68" s="182"/>
      <c r="C68" s="182" t="s">
        <v>118</v>
      </c>
      <c r="D68" s="182" t="s">
        <v>118</v>
      </c>
      <c r="E68" s="182" t="s">
        <v>118</v>
      </c>
      <c r="F68" s="182" t="s">
        <v>118</v>
      </c>
      <c r="G68" s="182" t="s">
        <v>118</v>
      </c>
      <c r="H68" s="182" t="s">
        <v>118</v>
      </c>
      <c r="I68" s="182" t="s">
        <v>118</v>
      </c>
      <c r="J68" s="182" t="s">
        <v>118</v>
      </c>
      <c r="K68" s="182" t="s">
        <v>118</v>
      </c>
      <c r="L68" s="182" t="s">
        <v>118</v>
      </c>
      <c r="M68" s="182" t="s">
        <v>118</v>
      </c>
      <c r="N68" s="84"/>
      <c r="O68" s="84"/>
      <c r="P68" s="84"/>
      <c r="Q68" s="84"/>
      <c r="R68" s="84"/>
      <c r="BC68" s="192"/>
    </row>
    <row r="69" spans="1:55" s="182" customFormat="1" x14ac:dyDescent="0.25">
      <c r="A69" s="183" t="s">
        <v>119</v>
      </c>
      <c r="B69" s="84" t="s">
        <v>120</v>
      </c>
      <c r="C69" s="184">
        <f>SUM(C10:C65)</f>
        <v>531504.95960065222</v>
      </c>
      <c r="D69" s="184">
        <f t="shared" ref="D69:L69" si="3">SUM(D10:D65)</f>
        <v>531504.95960065222</v>
      </c>
      <c r="E69" s="184">
        <f t="shared" si="3"/>
        <v>366.66</v>
      </c>
      <c r="F69" s="184">
        <f t="shared" si="3"/>
        <v>479.28</v>
      </c>
      <c r="G69" s="184">
        <f t="shared" si="3"/>
        <v>117.81</v>
      </c>
      <c r="H69" s="184">
        <f t="shared" si="3"/>
        <v>0</v>
      </c>
      <c r="I69" s="184">
        <f t="shared" si="3"/>
        <v>2528.4000000000024</v>
      </c>
      <c r="J69" s="184">
        <f t="shared" si="3"/>
        <v>9726.09</v>
      </c>
      <c r="K69" s="184">
        <f t="shared" si="3"/>
        <v>52628.071000000004</v>
      </c>
      <c r="L69" s="184">
        <f t="shared" si="3"/>
        <v>65846.311000000016</v>
      </c>
      <c r="M69" s="184">
        <f>SUM(M10:M65)</f>
        <v>465658.64860065229</v>
      </c>
      <c r="N69" s="84"/>
      <c r="BC69" s="196"/>
    </row>
    <row r="70" spans="1:55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182"/>
      <c r="S70" s="76"/>
      <c r="BC70" s="192"/>
    </row>
    <row r="71" spans="1:55" x14ac:dyDescent="0.25">
      <c r="A71" s="84"/>
      <c r="B71" s="84"/>
      <c r="C71" s="84" t="s">
        <v>120</v>
      </c>
      <c r="D71" s="84" t="s">
        <v>120</v>
      </c>
      <c r="E71" s="84"/>
      <c r="F71" s="84" t="s">
        <v>120</v>
      </c>
      <c r="G71" s="84" t="s">
        <v>120</v>
      </c>
      <c r="H71" s="84"/>
      <c r="I71" s="84"/>
      <c r="J71" s="84"/>
      <c r="K71" s="84"/>
      <c r="L71" s="84" t="s">
        <v>120</v>
      </c>
      <c r="M71" s="80"/>
      <c r="S71" s="76"/>
      <c r="BC71" s="192"/>
    </row>
    <row r="72" spans="1:55" x14ac:dyDescent="0.25">
      <c r="L72" s="76"/>
      <c r="M72" s="84"/>
      <c r="S72" s="76"/>
      <c r="BC72" s="192"/>
    </row>
    <row r="73" spans="1:55" x14ac:dyDescent="0.25">
      <c r="L73" s="76"/>
      <c r="M73" s="84"/>
      <c r="S73" s="76"/>
      <c r="BC73" s="192"/>
    </row>
    <row r="74" spans="1:55" x14ac:dyDescent="0.25">
      <c r="L74" s="76"/>
      <c r="M74" s="84"/>
      <c r="S74" s="76"/>
      <c r="BC74" s="192"/>
    </row>
    <row r="75" spans="1:55" x14ac:dyDescent="0.25">
      <c r="L75" s="76"/>
      <c r="M75" s="84"/>
      <c r="S75" s="76"/>
      <c r="BC75" s="192"/>
    </row>
    <row r="76" spans="1:55" x14ac:dyDescent="0.25">
      <c r="L76" s="76"/>
      <c r="M76" s="84"/>
      <c r="S76" s="76"/>
      <c r="BC76" s="192"/>
    </row>
    <row r="77" spans="1:55" x14ac:dyDescent="0.25">
      <c r="L77" s="76"/>
      <c r="M77" s="84"/>
      <c r="S77" s="76"/>
      <c r="BC77" s="192"/>
    </row>
    <row r="78" spans="1:55" x14ac:dyDescent="0.25">
      <c r="L78" s="76"/>
      <c r="M78" s="84"/>
      <c r="S78" s="76"/>
      <c r="BC78" s="192"/>
    </row>
    <row r="79" spans="1:55" x14ac:dyDescent="0.25">
      <c r="L79" s="76"/>
      <c r="M79" s="84"/>
      <c r="S79" s="76"/>
      <c r="BC79" s="192"/>
    </row>
    <row r="80" spans="1:55" x14ac:dyDescent="0.25">
      <c r="L80" s="76"/>
      <c r="M80" s="84"/>
      <c r="S80" s="76"/>
      <c r="BC80" s="192"/>
    </row>
    <row r="81" spans="12:55" x14ac:dyDescent="0.25">
      <c r="L81" s="76"/>
      <c r="M81" s="84"/>
      <c r="S81" s="76"/>
      <c r="BC81" s="192"/>
    </row>
    <row r="82" spans="12:55" x14ac:dyDescent="0.25">
      <c r="BC82" s="192"/>
    </row>
  </sheetData>
  <pageMargins left="0.7" right="0.7" top="0.75" bottom="0.75" header="0.3" footer="0.3"/>
  <pageSetup paperSize="1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Y66"/>
  <sheetViews>
    <sheetView workbookViewId="0">
      <selection activeCell="U45" sqref="U45:U64"/>
    </sheetView>
  </sheetViews>
  <sheetFormatPr baseColWidth="10" defaultRowHeight="15" x14ac:dyDescent="0.25"/>
  <cols>
    <col min="2" max="2" width="48.85546875" bestFit="1" customWidth="1"/>
    <col min="3" max="5" width="11.42578125" customWidth="1"/>
    <col min="6" max="20" width="11.42578125" hidden="1" customWidth="1"/>
    <col min="21" max="23" width="11.42578125" customWidth="1"/>
    <col min="24" max="24" width="48" bestFit="1" customWidth="1"/>
    <col min="25" max="25" width="12.85546875" bestFit="1" customWidth="1"/>
  </cols>
  <sheetData>
    <row r="1" spans="1:25" x14ac:dyDescent="0.25">
      <c r="A1" t="s">
        <v>0</v>
      </c>
      <c r="B1" t="s">
        <v>120</v>
      </c>
    </row>
    <row r="2" spans="1:25" x14ac:dyDescent="0.25">
      <c r="A2" t="s">
        <v>1</v>
      </c>
      <c r="B2" t="s">
        <v>2</v>
      </c>
    </row>
    <row r="3" spans="1:25" x14ac:dyDescent="0.25">
      <c r="B3" t="s">
        <v>3</v>
      </c>
    </row>
    <row r="4" spans="1:25" x14ac:dyDescent="0.25">
      <c r="B4" t="s">
        <v>310</v>
      </c>
      <c r="X4" t="s">
        <v>165</v>
      </c>
    </row>
    <row r="5" spans="1:25" x14ac:dyDescent="0.25">
      <c r="B5" t="s">
        <v>281</v>
      </c>
      <c r="X5" t="s">
        <v>166</v>
      </c>
    </row>
    <row r="6" spans="1:25" x14ac:dyDescent="0.25">
      <c r="B6" t="s">
        <v>5</v>
      </c>
      <c r="X6" t="s">
        <v>285</v>
      </c>
    </row>
    <row r="7" spans="1:25" x14ac:dyDescent="0.25">
      <c r="C7" t="s">
        <v>147</v>
      </c>
      <c r="R7" t="s">
        <v>309</v>
      </c>
    </row>
    <row r="9" spans="1:25" x14ac:dyDescent="0.25">
      <c r="A9" t="s">
        <v>6</v>
      </c>
      <c r="B9" t="s">
        <v>7</v>
      </c>
      <c r="C9" t="s">
        <v>146</v>
      </c>
      <c r="D9" t="s">
        <v>152</v>
      </c>
      <c r="E9" t="s">
        <v>148</v>
      </c>
      <c r="F9" t="s">
        <v>279</v>
      </c>
      <c r="G9" t="s">
        <v>283</v>
      </c>
      <c r="H9" t="s">
        <v>146</v>
      </c>
      <c r="I9" t="s">
        <v>178</v>
      </c>
      <c r="J9" t="s">
        <v>181</v>
      </c>
      <c r="K9" t="s">
        <v>282</v>
      </c>
      <c r="L9" t="s">
        <v>280</v>
      </c>
      <c r="M9" t="s">
        <v>153</v>
      </c>
      <c r="N9" t="s">
        <v>145</v>
      </c>
      <c r="O9" t="s">
        <v>278</v>
      </c>
      <c r="P9" t="s">
        <v>306</v>
      </c>
      <c r="Q9" t="s">
        <v>307</v>
      </c>
      <c r="R9" t="s">
        <v>9</v>
      </c>
      <c r="S9" t="s">
        <v>149</v>
      </c>
      <c r="T9" t="s">
        <v>150</v>
      </c>
      <c r="U9" t="s">
        <v>151</v>
      </c>
      <c r="V9" t="s">
        <v>144</v>
      </c>
      <c r="W9" t="s">
        <v>308</v>
      </c>
      <c r="X9" t="s">
        <v>168</v>
      </c>
      <c r="Y9" t="s">
        <v>318</v>
      </c>
    </row>
    <row r="10" spans="1:25" hidden="1" x14ac:dyDescent="0.25">
      <c r="A10" t="s">
        <v>14</v>
      </c>
      <c r="B10" t="s">
        <v>15</v>
      </c>
      <c r="C10" s="75">
        <v>1200</v>
      </c>
      <c r="D10" s="75">
        <v>145.37389713135775</v>
      </c>
      <c r="E10" s="75">
        <v>1641.9</v>
      </c>
      <c r="F10" s="75"/>
      <c r="G10" s="75"/>
      <c r="H10" s="75">
        <v>2987.2738971313579</v>
      </c>
      <c r="I10" s="75">
        <v>0</v>
      </c>
      <c r="J10" s="75">
        <v>0</v>
      </c>
      <c r="K10" s="75">
        <v>0</v>
      </c>
      <c r="L10" s="75">
        <v>0</v>
      </c>
      <c r="M10" s="75">
        <v>45.15</v>
      </c>
      <c r="N10" s="75">
        <v>0</v>
      </c>
      <c r="O10" s="75">
        <v>0</v>
      </c>
      <c r="P10" s="75">
        <v>45.15</v>
      </c>
      <c r="Q10" s="75">
        <v>2942.1238971313578</v>
      </c>
      <c r="R10" s="75">
        <v>2942.1238971313578</v>
      </c>
      <c r="S10" s="75">
        <v>299.74799999999999</v>
      </c>
      <c r="T10" s="75">
        <v>21.911999999999999</v>
      </c>
      <c r="U10" s="75">
        <v>3263.7838971313577</v>
      </c>
      <c r="V10" s="75">
        <v>522.20542354101724</v>
      </c>
      <c r="W10" s="75">
        <v>3785.989320672375</v>
      </c>
      <c r="X10" t="s">
        <v>190</v>
      </c>
      <c r="Y10" s="127" t="s">
        <v>314</v>
      </c>
    </row>
    <row r="11" spans="1:25" hidden="1" x14ac:dyDescent="0.25">
      <c r="A11" t="s">
        <v>16</v>
      </c>
      <c r="B11" t="s">
        <v>17</v>
      </c>
      <c r="C11" s="75">
        <v>3500</v>
      </c>
      <c r="D11" s="75">
        <v>0</v>
      </c>
      <c r="E11" s="75">
        <v>1777.5</v>
      </c>
      <c r="F11" s="75"/>
      <c r="G11" s="75"/>
      <c r="H11" s="75">
        <v>5277.5</v>
      </c>
      <c r="I11" s="75">
        <v>0</v>
      </c>
      <c r="J11" s="75">
        <v>0</v>
      </c>
      <c r="K11" s="75">
        <v>0</v>
      </c>
      <c r="L11" s="75">
        <v>0</v>
      </c>
      <c r="M11" s="75">
        <v>45.15</v>
      </c>
      <c r="N11" s="75">
        <v>0</v>
      </c>
      <c r="O11" s="75">
        <v>523.23500000000001</v>
      </c>
      <c r="P11" s="75">
        <v>568.38499999999999</v>
      </c>
      <c r="Q11" s="75">
        <v>4709.1149999999998</v>
      </c>
      <c r="R11" s="75">
        <v>5232.3500000000004</v>
      </c>
      <c r="S11" s="75">
        <v>0</v>
      </c>
      <c r="T11" s="75">
        <v>21.911999999999999</v>
      </c>
      <c r="U11" s="75">
        <v>5254.2620000000006</v>
      </c>
      <c r="V11" s="75">
        <v>840.6819200000001</v>
      </c>
      <c r="W11" s="75">
        <v>6094.9439200000006</v>
      </c>
      <c r="X11" t="s">
        <v>192</v>
      </c>
      <c r="Y11" s="127" t="s">
        <v>311</v>
      </c>
    </row>
    <row r="12" spans="1:25" hidden="1" x14ac:dyDescent="0.25">
      <c r="A12" t="s">
        <v>18</v>
      </c>
      <c r="B12" t="s">
        <v>19</v>
      </c>
      <c r="C12" s="75">
        <v>1250</v>
      </c>
      <c r="D12" s="75">
        <v>0</v>
      </c>
      <c r="E12" s="75">
        <v>2500</v>
      </c>
      <c r="F12" s="75"/>
      <c r="G12" s="75"/>
      <c r="H12" s="75">
        <v>3750</v>
      </c>
      <c r="I12" s="75">
        <v>0</v>
      </c>
      <c r="J12" s="75">
        <v>0</v>
      </c>
      <c r="K12" s="75">
        <v>0</v>
      </c>
      <c r="L12" s="75">
        <v>0</v>
      </c>
      <c r="M12" s="75">
        <v>45.15</v>
      </c>
      <c r="N12" s="75">
        <v>0</v>
      </c>
      <c r="O12" s="75">
        <v>0</v>
      </c>
      <c r="P12" s="75">
        <v>45.15</v>
      </c>
      <c r="Q12" s="75">
        <v>3704.85</v>
      </c>
      <c r="R12" s="75">
        <v>3704.85</v>
      </c>
      <c r="S12" s="75">
        <v>390.55799999999999</v>
      </c>
      <c r="T12" s="75">
        <v>21.911999999999999</v>
      </c>
      <c r="U12" s="75">
        <v>4117.32</v>
      </c>
      <c r="V12" s="75">
        <v>658.77120000000002</v>
      </c>
      <c r="W12" s="75">
        <v>4776.0911999999998</v>
      </c>
      <c r="X12" t="s">
        <v>192</v>
      </c>
      <c r="Y12" s="127" t="s">
        <v>311</v>
      </c>
    </row>
    <row r="13" spans="1:25" hidden="1" x14ac:dyDescent="0.25">
      <c r="A13" t="s">
        <v>20</v>
      </c>
      <c r="B13" t="s">
        <v>21</v>
      </c>
      <c r="C13" s="75">
        <v>3500</v>
      </c>
      <c r="D13" s="75">
        <v>0</v>
      </c>
      <c r="E13" s="75">
        <v>15486.79</v>
      </c>
      <c r="F13" s="75"/>
      <c r="G13" s="75"/>
      <c r="H13" s="75">
        <v>18986.79</v>
      </c>
      <c r="I13" s="75">
        <v>0</v>
      </c>
      <c r="J13" s="75">
        <v>0</v>
      </c>
      <c r="K13" s="75">
        <v>0</v>
      </c>
      <c r="L13" s="75">
        <v>0</v>
      </c>
      <c r="M13" s="75">
        <v>45.15</v>
      </c>
      <c r="N13" s="75">
        <v>2181.2800000000002</v>
      </c>
      <c r="O13" s="75">
        <v>1906.6759999999999</v>
      </c>
      <c r="P13" s="75">
        <v>4133.1059999999998</v>
      </c>
      <c r="Q13" s="75">
        <v>14853.684000000001</v>
      </c>
      <c r="R13" s="75">
        <v>18941.64</v>
      </c>
      <c r="S13" s="75">
        <v>0</v>
      </c>
      <c r="T13" s="75">
        <v>21.911999999999999</v>
      </c>
      <c r="U13" s="75">
        <v>18963.552</v>
      </c>
      <c r="V13" s="75">
        <v>3034.1683200000002</v>
      </c>
      <c r="W13" s="75">
        <v>21997.72032</v>
      </c>
      <c r="X13" t="s">
        <v>192</v>
      </c>
      <c r="Y13" s="127" t="s">
        <v>312</v>
      </c>
    </row>
    <row r="14" spans="1:25" hidden="1" x14ac:dyDescent="0.25">
      <c r="A14" t="s">
        <v>22</v>
      </c>
      <c r="B14" t="s">
        <v>23</v>
      </c>
      <c r="C14" s="75">
        <v>2250</v>
      </c>
      <c r="D14" s="75">
        <v>0</v>
      </c>
      <c r="E14" s="75">
        <v>2000</v>
      </c>
      <c r="F14" s="75"/>
      <c r="G14" s="75"/>
      <c r="H14" s="75">
        <v>4250</v>
      </c>
      <c r="I14" s="75">
        <v>0</v>
      </c>
      <c r="J14" s="75">
        <v>0</v>
      </c>
      <c r="K14" s="75">
        <v>0</v>
      </c>
      <c r="L14" s="75">
        <v>0</v>
      </c>
      <c r="M14" s="75">
        <v>45.15</v>
      </c>
      <c r="N14" s="75">
        <v>902.31</v>
      </c>
      <c r="O14" s="75">
        <v>0</v>
      </c>
      <c r="P14" s="75">
        <v>947.45999999999992</v>
      </c>
      <c r="Q14" s="75">
        <v>3302.54</v>
      </c>
      <c r="R14" s="75">
        <v>4204.8500000000004</v>
      </c>
      <c r="S14" s="75">
        <v>437.96300000000002</v>
      </c>
      <c r="T14" s="75">
        <v>21.911999999999999</v>
      </c>
      <c r="U14" s="75">
        <v>4664.7250000000004</v>
      </c>
      <c r="V14" s="75">
        <v>746.35600000000011</v>
      </c>
      <c r="W14" s="75">
        <v>5411.0810000000001</v>
      </c>
      <c r="X14" t="s">
        <v>192</v>
      </c>
      <c r="Y14" s="127" t="s">
        <v>312</v>
      </c>
    </row>
    <row r="15" spans="1:25" hidden="1" x14ac:dyDescent="0.25">
      <c r="A15" t="s">
        <v>24</v>
      </c>
      <c r="B15" t="s">
        <v>25</v>
      </c>
      <c r="C15" s="75">
        <v>2500</v>
      </c>
      <c r="D15" s="75">
        <v>0</v>
      </c>
      <c r="E15" s="75">
        <v>3750</v>
      </c>
      <c r="F15" s="75"/>
      <c r="G15" s="75"/>
      <c r="H15" s="75">
        <v>6250</v>
      </c>
      <c r="I15" s="75">
        <v>0</v>
      </c>
      <c r="J15" s="75">
        <v>0</v>
      </c>
      <c r="K15" s="75">
        <v>0</v>
      </c>
      <c r="L15" s="75">
        <v>0</v>
      </c>
      <c r="M15" s="75">
        <v>45.15</v>
      </c>
      <c r="N15" s="75">
        <v>0</v>
      </c>
      <c r="O15" s="75">
        <v>636.52300000000014</v>
      </c>
      <c r="P15" s="75">
        <v>681.67300000000012</v>
      </c>
      <c r="Q15" s="75">
        <v>5568.3270000000002</v>
      </c>
      <c r="R15" s="75">
        <v>6204.85</v>
      </c>
      <c r="S15" s="75">
        <v>0</v>
      </c>
      <c r="T15" s="75">
        <v>21.911999999999999</v>
      </c>
      <c r="U15" s="75">
        <v>6226.7620000000006</v>
      </c>
      <c r="V15" s="75">
        <v>996.28192000000013</v>
      </c>
      <c r="W15" s="75">
        <v>7223.043920000001</v>
      </c>
      <c r="X15" t="s">
        <v>200</v>
      </c>
      <c r="Y15" s="127" t="s">
        <v>313</v>
      </c>
    </row>
    <row r="16" spans="1:25" hidden="1" x14ac:dyDescent="0.25">
      <c r="A16" t="s">
        <v>26</v>
      </c>
      <c r="B16" t="s">
        <v>27</v>
      </c>
      <c r="C16" s="75">
        <v>2500</v>
      </c>
      <c r="D16" s="75">
        <v>0</v>
      </c>
      <c r="E16" s="75">
        <v>6081.55</v>
      </c>
      <c r="F16" s="75"/>
      <c r="G16" s="75"/>
      <c r="H16" s="75">
        <v>8581.5499999999993</v>
      </c>
      <c r="I16" s="75">
        <v>0</v>
      </c>
      <c r="J16" s="75">
        <v>0</v>
      </c>
      <c r="K16" s="75">
        <v>0</v>
      </c>
      <c r="L16" s="75">
        <v>0</v>
      </c>
      <c r="M16" s="75">
        <v>45.15</v>
      </c>
      <c r="N16" s="75">
        <v>0</v>
      </c>
      <c r="O16" s="75">
        <v>869.67799999999988</v>
      </c>
      <c r="P16" s="75">
        <v>914.82799999999986</v>
      </c>
      <c r="Q16" s="75">
        <v>7666.7219999999998</v>
      </c>
      <c r="R16" s="75">
        <v>8536.4</v>
      </c>
      <c r="S16" s="75">
        <v>0</v>
      </c>
      <c r="T16" s="75">
        <v>21.911999999999999</v>
      </c>
      <c r="U16" s="75">
        <v>8558.3119999999999</v>
      </c>
      <c r="V16" s="75">
        <v>1369.3299199999999</v>
      </c>
      <c r="W16" s="75">
        <v>9927.64192</v>
      </c>
      <c r="X16" t="s">
        <v>192</v>
      </c>
      <c r="Y16" s="127" t="s">
        <v>313</v>
      </c>
    </row>
    <row r="17" spans="1:25" hidden="1" x14ac:dyDescent="0.25">
      <c r="A17" t="s">
        <v>28</v>
      </c>
      <c r="B17" t="s">
        <v>29</v>
      </c>
      <c r="C17" s="75">
        <v>6500</v>
      </c>
      <c r="D17" s="75">
        <v>0</v>
      </c>
      <c r="E17" s="75">
        <v>0</v>
      </c>
      <c r="F17" s="75"/>
      <c r="G17" s="75"/>
      <c r="H17" s="75">
        <v>6500</v>
      </c>
      <c r="I17" s="75">
        <v>0</v>
      </c>
      <c r="J17" s="75">
        <v>0</v>
      </c>
      <c r="K17" s="75">
        <v>0</v>
      </c>
      <c r="L17" s="75">
        <v>0</v>
      </c>
      <c r="M17" s="75">
        <v>45.15</v>
      </c>
      <c r="N17" s="75">
        <v>0</v>
      </c>
      <c r="O17" s="75">
        <v>645.48500000000013</v>
      </c>
      <c r="P17" s="75">
        <v>690.6350000000001</v>
      </c>
      <c r="Q17" s="75">
        <v>5809.3649999999998</v>
      </c>
      <c r="R17" s="75">
        <v>6454.85</v>
      </c>
      <c r="S17" s="75">
        <v>0</v>
      </c>
      <c r="T17" s="75">
        <v>21.911999999999999</v>
      </c>
      <c r="U17" s="75">
        <v>6476.7620000000006</v>
      </c>
      <c r="V17" s="75">
        <v>1036.2819200000001</v>
      </c>
      <c r="W17" s="75">
        <v>7513.043920000001</v>
      </c>
      <c r="X17" t="s">
        <v>192</v>
      </c>
      <c r="Y17" s="127" t="s">
        <v>312</v>
      </c>
    </row>
    <row r="18" spans="1:25" hidden="1" x14ac:dyDescent="0.25">
      <c r="A18" t="s">
        <v>32</v>
      </c>
      <c r="B18" t="s">
        <v>33</v>
      </c>
      <c r="C18" s="75">
        <v>1400</v>
      </c>
      <c r="D18" s="75">
        <v>160.37636329558455</v>
      </c>
      <c r="E18" s="75">
        <v>1200</v>
      </c>
      <c r="F18" s="75"/>
      <c r="G18" s="75"/>
      <c r="H18" s="75">
        <v>2760.3763632955843</v>
      </c>
      <c r="I18" s="75">
        <v>0</v>
      </c>
      <c r="J18" s="75">
        <v>0</v>
      </c>
      <c r="K18" s="75">
        <v>0</v>
      </c>
      <c r="L18" s="75">
        <v>0</v>
      </c>
      <c r="M18" s="75">
        <v>45.15</v>
      </c>
      <c r="N18" s="75">
        <v>0</v>
      </c>
      <c r="O18" s="75">
        <v>0</v>
      </c>
      <c r="P18" s="75">
        <v>45.15</v>
      </c>
      <c r="Q18" s="75">
        <v>2715.2263632955842</v>
      </c>
      <c r="R18" s="75">
        <v>2715.2263632955842</v>
      </c>
      <c r="S18" s="75">
        <v>275.55799999999999</v>
      </c>
      <c r="T18" s="75">
        <v>21.911999999999999</v>
      </c>
      <c r="U18" s="75">
        <v>3012.696363295584</v>
      </c>
      <c r="V18" s="75">
        <v>482.03141812729342</v>
      </c>
      <c r="W18" s="75">
        <v>3494.7277814228773</v>
      </c>
      <c r="X18" t="s">
        <v>190</v>
      </c>
      <c r="Y18" s="127" t="s">
        <v>311</v>
      </c>
    </row>
    <row r="19" spans="1:25" hidden="1" x14ac:dyDescent="0.25">
      <c r="A19" t="s">
        <v>34</v>
      </c>
      <c r="B19" t="s">
        <v>35</v>
      </c>
      <c r="C19" s="75">
        <v>1400</v>
      </c>
      <c r="D19" s="75">
        <v>160.37636329558455</v>
      </c>
      <c r="E19" s="75">
        <v>1200</v>
      </c>
      <c r="F19" s="75"/>
      <c r="G19" s="75"/>
      <c r="H19" s="75">
        <v>2760.3763632955843</v>
      </c>
      <c r="I19" s="75">
        <v>0</v>
      </c>
      <c r="J19" s="75">
        <v>0</v>
      </c>
      <c r="K19" s="75">
        <v>0</v>
      </c>
      <c r="L19" s="75">
        <v>0</v>
      </c>
      <c r="M19" s="75">
        <v>45.15</v>
      </c>
      <c r="N19" s="75">
        <v>0</v>
      </c>
      <c r="O19" s="75">
        <v>0</v>
      </c>
      <c r="P19" s="75">
        <v>45.15</v>
      </c>
      <c r="Q19" s="75">
        <v>2715.2263632955842</v>
      </c>
      <c r="R19" s="75">
        <v>2715.2263632955842</v>
      </c>
      <c r="S19" s="75">
        <v>275.55799999999999</v>
      </c>
      <c r="T19" s="75">
        <v>21.911999999999999</v>
      </c>
      <c r="U19" s="75">
        <v>3012.696363295584</v>
      </c>
      <c r="V19" s="75">
        <v>482.03141812729342</v>
      </c>
      <c r="W19" s="75">
        <v>3494.7277814228773</v>
      </c>
      <c r="X19" t="s">
        <v>192</v>
      </c>
      <c r="Y19" s="127" t="s">
        <v>311</v>
      </c>
    </row>
    <row r="20" spans="1:25" hidden="1" x14ac:dyDescent="0.25">
      <c r="A20" t="s">
        <v>36</v>
      </c>
      <c r="B20" t="s">
        <v>37</v>
      </c>
      <c r="C20" s="75">
        <v>2500</v>
      </c>
      <c r="D20" s="75">
        <v>125.12056780965156</v>
      </c>
      <c r="E20" s="75">
        <v>1000</v>
      </c>
      <c r="F20" s="75"/>
      <c r="G20" s="75"/>
      <c r="H20" s="75">
        <v>3625.1205678096517</v>
      </c>
      <c r="I20" s="75">
        <v>0</v>
      </c>
      <c r="J20" s="75">
        <v>0</v>
      </c>
      <c r="K20" s="75">
        <v>0</v>
      </c>
      <c r="L20" s="75">
        <v>0</v>
      </c>
      <c r="M20" s="75">
        <v>45.15</v>
      </c>
      <c r="N20" s="75">
        <v>1551.8</v>
      </c>
      <c r="O20" s="75">
        <v>0</v>
      </c>
      <c r="P20" s="75">
        <v>1596.95</v>
      </c>
      <c r="Q20" s="75">
        <v>2028.1705678096516</v>
      </c>
      <c r="R20" s="75">
        <v>3579.9705678096516</v>
      </c>
      <c r="S20" s="75">
        <v>361.52300000000002</v>
      </c>
      <c r="T20" s="75">
        <v>21.911999999999999</v>
      </c>
      <c r="U20" s="75">
        <v>3963.4055678096515</v>
      </c>
      <c r="V20" s="75">
        <v>634.14489084954425</v>
      </c>
      <c r="W20" s="75">
        <v>4597.550458659196</v>
      </c>
      <c r="X20" t="s">
        <v>192</v>
      </c>
      <c r="Y20" s="127" t="s">
        <v>311</v>
      </c>
    </row>
    <row r="21" spans="1:25" hidden="1" x14ac:dyDescent="0.25">
      <c r="A21" t="s">
        <v>38</v>
      </c>
      <c r="B21" t="s">
        <v>39</v>
      </c>
      <c r="C21" s="75">
        <v>2750</v>
      </c>
      <c r="D21" s="75">
        <v>0</v>
      </c>
      <c r="E21" s="75">
        <v>2250</v>
      </c>
      <c r="F21" s="75"/>
      <c r="G21" s="75"/>
      <c r="H21" s="75">
        <v>5000</v>
      </c>
      <c r="I21" s="75">
        <v>183.33</v>
      </c>
      <c r="J21" s="75">
        <v>0</v>
      </c>
      <c r="K21" s="75">
        <v>0</v>
      </c>
      <c r="L21" s="75">
        <v>0</v>
      </c>
      <c r="M21" s="75">
        <v>45.15</v>
      </c>
      <c r="N21" s="75">
        <v>0</v>
      </c>
      <c r="O21" s="75">
        <v>510.02200000000005</v>
      </c>
      <c r="P21" s="75">
        <v>738.50200000000007</v>
      </c>
      <c r="Q21" s="75">
        <v>4261.4979999999996</v>
      </c>
      <c r="R21" s="75">
        <v>4954.8500000000004</v>
      </c>
      <c r="S21" s="75">
        <v>0</v>
      </c>
      <c r="T21" s="75">
        <v>21.911999999999999</v>
      </c>
      <c r="U21" s="75">
        <v>4976.7620000000006</v>
      </c>
      <c r="V21" s="75">
        <v>796.28192000000013</v>
      </c>
      <c r="W21" s="75">
        <v>5773.043920000001</v>
      </c>
      <c r="X21" t="s">
        <v>192</v>
      </c>
      <c r="Y21" s="127" t="s">
        <v>312</v>
      </c>
    </row>
    <row r="22" spans="1:25" hidden="1" x14ac:dyDescent="0.25">
      <c r="A22" t="s">
        <v>40</v>
      </c>
      <c r="B22" t="s">
        <v>41</v>
      </c>
      <c r="C22" s="75">
        <v>2500</v>
      </c>
      <c r="D22" s="75">
        <v>0</v>
      </c>
      <c r="E22" s="75">
        <v>3000</v>
      </c>
      <c r="F22" s="75"/>
      <c r="G22" s="75"/>
      <c r="H22" s="75">
        <v>5500</v>
      </c>
      <c r="I22" s="75">
        <v>0</v>
      </c>
      <c r="J22" s="75">
        <v>0</v>
      </c>
      <c r="K22" s="75">
        <v>0</v>
      </c>
      <c r="L22" s="75">
        <v>0</v>
      </c>
      <c r="M22" s="75">
        <v>45.15</v>
      </c>
      <c r="N22" s="75">
        <v>0</v>
      </c>
      <c r="O22" s="75">
        <v>561.52300000000002</v>
      </c>
      <c r="P22" s="75">
        <v>606.673</v>
      </c>
      <c r="Q22" s="75">
        <v>4893.3270000000002</v>
      </c>
      <c r="R22" s="75">
        <v>5454.85</v>
      </c>
      <c r="S22" s="75">
        <v>0</v>
      </c>
      <c r="T22" s="75">
        <v>21.911999999999999</v>
      </c>
      <c r="U22" s="75">
        <v>5476.7620000000006</v>
      </c>
      <c r="V22" s="75">
        <v>876.28192000000013</v>
      </c>
      <c r="W22" s="75">
        <v>6353.043920000001</v>
      </c>
      <c r="X22" t="s">
        <v>192</v>
      </c>
      <c r="Y22" s="127" t="s">
        <v>311</v>
      </c>
    </row>
    <row r="23" spans="1:25" hidden="1" x14ac:dyDescent="0.25">
      <c r="B23" t="s">
        <v>293</v>
      </c>
      <c r="C23" s="75">
        <v>1200</v>
      </c>
      <c r="D23" s="75">
        <v>145.37389713135775</v>
      </c>
      <c r="E23" s="75">
        <v>1800</v>
      </c>
      <c r="F23" s="75"/>
      <c r="G23" s="75"/>
      <c r="H23" s="75">
        <v>3145.3738971313578</v>
      </c>
      <c r="I23" s="75">
        <v>0</v>
      </c>
      <c r="J23" s="75">
        <v>0</v>
      </c>
      <c r="K23" s="75">
        <v>0</v>
      </c>
      <c r="L23" s="75">
        <v>0</v>
      </c>
      <c r="M23" s="75">
        <v>45.15</v>
      </c>
      <c r="N23" s="75">
        <v>0</v>
      </c>
      <c r="O23" s="75">
        <v>0</v>
      </c>
      <c r="P23" s="75">
        <v>45.15</v>
      </c>
      <c r="Q23" s="75">
        <v>3100.2238971313577</v>
      </c>
      <c r="R23" s="75">
        <v>3100.2238971313577</v>
      </c>
      <c r="S23" s="75">
        <v>295.48500000000001</v>
      </c>
      <c r="T23" s="75">
        <v>21.911999999999999</v>
      </c>
      <c r="U23" s="75">
        <v>3417.6208971313577</v>
      </c>
      <c r="V23" s="75">
        <v>546.81934354101725</v>
      </c>
      <c r="W23" s="75">
        <v>3964.4402406723748</v>
      </c>
      <c r="X23" t="s">
        <v>190</v>
      </c>
      <c r="Y23" s="127" t="s">
        <v>314</v>
      </c>
    </row>
    <row r="24" spans="1:25" hidden="1" x14ac:dyDescent="0.25">
      <c r="A24" t="s">
        <v>42</v>
      </c>
      <c r="B24" t="s">
        <v>43</v>
      </c>
      <c r="C24" s="75">
        <v>7500</v>
      </c>
      <c r="D24" s="75">
        <v>0</v>
      </c>
      <c r="E24" s="75">
        <v>97564.68</v>
      </c>
      <c r="F24" s="75"/>
      <c r="G24" s="75"/>
      <c r="H24" s="75">
        <v>105064.68</v>
      </c>
      <c r="I24" s="75">
        <v>0</v>
      </c>
      <c r="J24" s="75">
        <v>0</v>
      </c>
      <c r="K24" s="75">
        <v>0</v>
      </c>
      <c r="L24" s="75">
        <v>0</v>
      </c>
      <c r="M24" s="75">
        <v>45.15</v>
      </c>
      <c r="N24" s="75">
        <v>0</v>
      </c>
      <c r="O24" s="75">
        <v>10501.953000000001</v>
      </c>
      <c r="P24" s="75">
        <v>10547.103000000001</v>
      </c>
      <c r="Q24" s="75">
        <v>94517.57699999999</v>
      </c>
      <c r="R24" s="75">
        <v>105019.53</v>
      </c>
      <c r="S24" s="75">
        <v>0</v>
      </c>
      <c r="T24" s="75">
        <v>21.911999999999999</v>
      </c>
      <c r="U24" s="75">
        <v>105041.442</v>
      </c>
      <c r="V24" s="75">
        <v>16806.630720000001</v>
      </c>
      <c r="W24" s="75">
        <v>121848.07272</v>
      </c>
      <c r="X24" t="s">
        <v>200</v>
      </c>
      <c r="Y24" s="127" t="s">
        <v>313</v>
      </c>
    </row>
    <row r="25" spans="1:25" hidden="1" x14ac:dyDescent="0.25">
      <c r="A25" t="s">
        <v>44</v>
      </c>
      <c r="B25" t="s">
        <v>45</v>
      </c>
      <c r="C25" s="75">
        <v>1200</v>
      </c>
      <c r="D25" s="75">
        <v>107.41765773586395</v>
      </c>
      <c r="E25" s="75">
        <v>2400.86</v>
      </c>
      <c r="F25" s="75"/>
      <c r="G25" s="75"/>
      <c r="H25" s="75">
        <v>3708.2776577358641</v>
      </c>
      <c r="I25" s="75">
        <v>0</v>
      </c>
      <c r="J25" s="75">
        <v>0</v>
      </c>
      <c r="K25" s="75">
        <v>0</v>
      </c>
      <c r="L25" s="75">
        <v>0</v>
      </c>
      <c r="M25" s="75">
        <v>45.15</v>
      </c>
      <c r="N25" s="75">
        <v>0</v>
      </c>
      <c r="O25" s="75">
        <v>0</v>
      </c>
      <c r="P25" s="75">
        <v>45.15</v>
      </c>
      <c r="Q25" s="75">
        <v>3663.127657735864</v>
      </c>
      <c r="R25" s="75">
        <v>3663.127657735864</v>
      </c>
      <c r="S25" s="75">
        <v>355.57100000000003</v>
      </c>
      <c r="T25" s="75">
        <v>21.911999999999999</v>
      </c>
      <c r="U25" s="75">
        <v>4040.6106577358637</v>
      </c>
      <c r="V25" s="75">
        <v>646.49770523773816</v>
      </c>
      <c r="W25" s="75">
        <v>4687.1083629736022</v>
      </c>
      <c r="X25" t="s">
        <v>190</v>
      </c>
      <c r="Y25" s="127" t="s">
        <v>314</v>
      </c>
    </row>
    <row r="26" spans="1:25" hidden="1" x14ac:dyDescent="0.25">
      <c r="A26" t="s">
        <v>159</v>
      </c>
      <c r="B26" t="s">
        <v>154</v>
      </c>
      <c r="C26" s="75">
        <v>2500</v>
      </c>
      <c r="D26" s="75">
        <v>0</v>
      </c>
      <c r="E26" s="75">
        <v>2500</v>
      </c>
      <c r="F26" s="75"/>
      <c r="G26" s="75"/>
      <c r="H26" s="75">
        <v>5000</v>
      </c>
      <c r="I26" s="75">
        <v>0</v>
      </c>
      <c r="J26" s="75">
        <v>0</v>
      </c>
      <c r="K26" s="75">
        <v>0</v>
      </c>
      <c r="L26" s="75">
        <v>0</v>
      </c>
      <c r="M26" s="75">
        <v>45.15</v>
      </c>
      <c r="N26" s="75">
        <v>0</v>
      </c>
      <c r="O26" s="75">
        <v>511.52300000000008</v>
      </c>
      <c r="P26" s="75">
        <v>556.67300000000012</v>
      </c>
      <c r="Q26" s="75">
        <v>4443.3270000000002</v>
      </c>
      <c r="R26" s="75">
        <v>4954.8500000000004</v>
      </c>
      <c r="S26" s="75">
        <v>0</v>
      </c>
      <c r="T26" s="75">
        <v>21.911999999999999</v>
      </c>
      <c r="U26" s="75">
        <v>4976.7620000000006</v>
      </c>
      <c r="V26" s="75">
        <v>796.28192000000013</v>
      </c>
      <c r="W26" s="75">
        <v>5773.043920000001</v>
      </c>
      <c r="X26" t="s">
        <v>200</v>
      </c>
      <c r="Y26" s="127" t="s">
        <v>313</v>
      </c>
    </row>
    <row r="27" spans="1:25" hidden="1" x14ac:dyDescent="0.25">
      <c r="A27" t="s">
        <v>46</v>
      </c>
      <c r="B27" t="s">
        <v>47</v>
      </c>
      <c r="C27" s="75">
        <v>0</v>
      </c>
      <c r="D27" s="75">
        <v>0</v>
      </c>
      <c r="E27" s="75">
        <v>292.5</v>
      </c>
      <c r="F27" s="75"/>
      <c r="G27" s="75"/>
      <c r="H27" s="75">
        <v>292.5</v>
      </c>
      <c r="I27" s="75">
        <v>0</v>
      </c>
      <c r="J27" s="75">
        <v>0</v>
      </c>
      <c r="K27" s="75">
        <v>0</v>
      </c>
      <c r="L27" s="75">
        <v>0</v>
      </c>
      <c r="M27" s="75">
        <v>45.15</v>
      </c>
      <c r="N27" s="75">
        <v>0</v>
      </c>
      <c r="O27" s="75">
        <v>0</v>
      </c>
      <c r="P27" s="75">
        <v>45.15</v>
      </c>
      <c r="Q27" s="75">
        <v>247.35</v>
      </c>
      <c r="R27" s="75">
        <v>247.35</v>
      </c>
      <c r="S27" s="75">
        <v>144.73499999999999</v>
      </c>
      <c r="T27" s="75">
        <v>0</v>
      </c>
      <c r="U27" s="75">
        <v>392.08499999999998</v>
      </c>
      <c r="V27" s="75">
        <v>62.733599999999996</v>
      </c>
      <c r="W27" s="75">
        <v>454.81859999999995</v>
      </c>
      <c r="X27" t="s">
        <v>190</v>
      </c>
      <c r="Y27" s="127" t="s">
        <v>314</v>
      </c>
    </row>
    <row r="28" spans="1:25" hidden="1" x14ac:dyDescent="0.25">
      <c r="A28" t="s">
        <v>48</v>
      </c>
      <c r="B28" t="s">
        <v>49</v>
      </c>
      <c r="C28" s="75">
        <v>22500</v>
      </c>
      <c r="D28" s="75">
        <v>0</v>
      </c>
      <c r="E28" s="75">
        <v>0</v>
      </c>
      <c r="F28" s="75"/>
      <c r="G28" s="75"/>
      <c r="H28" s="75">
        <v>22500</v>
      </c>
      <c r="I28" s="75">
        <v>0</v>
      </c>
      <c r="J28" s="75">
        <v>479.28</v>
      </c>
      <c r="K28" s="75">
        <v>0</v>
      </c>
      <c r="L28" s="75">
        <v>0</v>
      </c>
      <c r="M28" s="75">
        <v>45.15</v>
      </c>
      <c r="N28" s="75">
        <v>323.91000000000003</v>
      </c>
      <c r="O28" s="75">
        <v>2245.4850000000001</v>
      </c>
      <c r="P28" s="75">
        <v>3093.8249999999998</v>
      </c>
      <c r="Q28" s="75">
        <v>19406.174999999999</v>
      </c>
      <c r="R28" s="75">
        <v>22454.85</v>
      </c>
      <c r="S28" s="75">
        <v>0</v>
      </c>
      <c r="T28" s="75">
        <v>21.911999999999999</v>
      </c>
      <c r="U28" s="75">
        <v>22476.761999999999</v>
      </c>
      <c r="V28" s="75">
        <v>3596.2819199999999</v>
      </c>
      <c r="W28" s="75">
        <v>26073.04392</v>
      </c>
      <c r="X28" t="s">
        <v>192</v>
      </c>
      <c r="Y28" s="127" t="s">
        <v>312</v>
      </c>
    </row>
    <row r="29" spans="1:25" hidden="1" x14ac:dyDescent="0.25">
      <c r="A29" t="s">
        <v>50</v>
      </c>
      <c r="B29" t="s">
        <v>51</v>
      </c>
      <c r="C29" s="75">
        <v>2500</v>
      </c>
      <c r="D29" s="75">
        <v>125.12056780965156</v>
      </c>
      <c r="E29" s="75">
        <v>1000</v>
      </c>
      <c r="F29" s="75"/>
      <c r="G29" s="75"/>
      <c r="H29" s="75">
        <v>3625.1205678096517</v>
      </c>
      <c r="I29" s="75">
        <v>0</v>
      </c>
      <c r="J29" s="75">
        <v>0</v>
      </c>
      <c r="K29" s="75">
        <v>0</v>
      </c>
      <c r="L29" s="75">
        <v>0</v>
      </c>
      <c r="M29" s="75">
        <v>45.15</v>
      </c>
      <c r="N29" s="75">
        <v>0</v>
      </c>
      <c r="O29" s="75">
        <v>0</v>
      </c>
      <c r="P29" s="75">
        <v>45.15</v>
      </c>
      <c r="Q29" s="75">
        <v>3579.9705678096516</v>
      </c>
      <c r="R29" s="75">
        <v>3579.9705678096516</v>
      </c>
      <c r="S29" s="75">
        <v>361.52300000000002</v>
      </c>
      <c r="T29" s="75">
        <v>21.911999999999999</v>
      </c>
      <c r="U29" s="75">
        <v>3963.4055678096515</v>
      </c>
      <c r="V29" s="75">
        <v>634.14489084954425</v>
      </c>
      <c r="W29" s="75">
        <v>4597.550458659196</v>
      </c>
      <c r="X29" t="s">
        <v>200</v>
      </c>
      <c r="Y29" s="127" t="s">
        <v>313</v>
      </c>
    </row>
    <row r="30" spans="1:25" hidden="1" x14ac:dyDescent="0.25">
      <c r="A30" t="s">
        <v>52</v>
      </c>
      <c r="B30" t="s">
        <v>53</v>
      </c>
      <c r="C30" s="75">
        <v>1999.9999999999998</v>
      </c>
      <c r="D30" s="75">
        <v>0</v>
      </c>
      <c r="E30" s="75">
        <v>2000</v>
      </c>
      <c r="F30" s="75"/>
      <c r="G30" s="75"/>
      <c r="H30" s="75">
        <v>4000</v>
      </c>
      <c r="I30" s="75">
        <v>0</v>
      </c>
      <c r="J30" s="75">
        <v>0</v>
      </c>
      <c r="K30" s="75">
        <v>0</v>
      </c>
      <c r="L30" s="75">
        <v>0</v>
      </c>
      <c r="M30" s="75">
        <v>45.15</v>
      </c>
      <c r="N30" s="75">
        <v>0</v>
      </c>
      <c r="O30" s="75">
        <v>0</v>
      </c>
      <c r="P30" s="75">
        <v>45.15</v>
      </c>
      <c r="Q30" s="75">
        <v>3954.85</v>
      </c>
      <c r="R30" s="75">
        <v>3954.85</v>
      </c>
      <c r="S30" s="75">
        <v>414.358</v>
      </c>
      <c r="T30" s="75">
        <v>21.911999999999999</v>
      </c>
      <c r="U30" s="75">
        <v>4391.12</v>
      </c>
      <c r="V30" s="75">
        <v>702.57920000000001</v>
      </c>
      <c r="W30" s="75">
        <v>5093.6992</v>
      </c>
      <c r="X30" t="s">
        <v>192</v>
      </c>
      <c r="Y30" s="127" t="s">
        <v>311</v>
      </c>
    </row>
    <row r="31" spans="1:25" hidden="1" x14ac:dyDescent="0.25">
      <c r="A31" t="s">
        <v>54</v>
      </c>
      <c r="B31" t="s">
        <v>55</v>
      </c>
      <c r="C31" s="75">
        <v>1200</v>
      </c>
      <c r="D31" s="75">
        <v>0</v>
      </c>
      <c r="E31" s="75">
        <v>3974</v>
      </c>
      <c r="F31" s="75"/>
      <c r="G31" s="75"/>
      <c r="H31" s="75">
        <v>5174</v>
      </c>
      <c r="I31" s="75">
        <v>0</v>
      </c>
      <c r="J31" s="75">
        <v>0</v>
      </c>
      <c r="K31" s="75">
        <v>0</v>
      </c>
      <c r="L31" s="75">
        <v>0</v>
      </c>
      <c r="M31" s="75">
        <v>45.15</v>
      </c>
      <c r="N31" s="75">
        <v>0</v>
      </c>
      <c r="O31" s="75">
        <v>525.39700000000005</v>
      </c>
      <c r="P31" s="75">
        <v>570.54700000000003</v>
      </c>
      <c r="Q31" s="75">
        <v>4603.4529999999995</v>
      </c>
      <c r="R31" s="75">
        <v>5128.8500000000004</v>
      </c>
      <c r="S31" s="75">
        <v>0</v>
      </c>
      <c r="T31" s="75">
        <v>21.911999999999999</v>
      </c>
      <c r="U31" s="75">
        <v>5150.7620000000006</v>
      </c>
      <c r="V31" s="75">
        <v>824.12192000000016</v>
      </c>
      <c r="W31" s="75">
        <v>5974.8839200000011</v>
      </c>
      <c r="X31" t="s">
        <v>190</v>
      </c>
      <c r="Y31" s="127" t="s">
        <v>314</v>
      </c>
    </row>
    <row r="32" spans="1:25" hidden="1" x14ac:dyDescent="0.25">
      <c r="A32" t="s">
        <v>160</v>
      </c>
      <c r="B32" t="s">
        <v>158</v>
      </c>
      <c r="C32" s="75">
        <v>2000</v>
      </c>
      <c r="D32" s="75">
        <v>0</v>
      </c>
      <c r="E32" s="75">
        <v>2000</v>
      </c>
      <c r="F32" s="75"/>
      <c r="G32" s="75"/>
      <c r="H32" s="75">
        <v>4000</v>
      </c>
      <c r="I32" s="75">
        <v>0</v>
      </c>
      <c r="J32" s="75">
        <v>0</v>
      </c>
      <c r="K32" s="75">
        <v>0</v>
      </c>
      <c r="L32" s="75">
        <v>0</v>
      </c>
      <c r="M32" s="75">
        <v>45.15</v>
      </c>
      <c r="N32" s="75">
        <v>0</v>
      </c>
      <c r="O32" s="75">
        <v>0</v>
      </c>
      <c r="P32" s="75">
        <v>45.15</v>
      </c>
      <c r="Q32" s="75">
        <v>3954.85</v>
      </c>
      <c r="R32" s="75">
        <v>3954.85</v>
      </c>
      <c r="S32" s="75">
        <v>414.358</v>
      </c>
      <c r="T32" s="75">
        <v>21.911999999999999</v>
      </c>
      <c r="U32" s="75">
        <v>4391.12</v>
      </c>
      <c r="V32" s="75">
        <v>702.57920000000001</v>
      </c>
      <c r="W32" s="75">
        <v>5093.6992</v>
      </c>
      <c r="X32" t="s">
        <v>192</v>
      </c>
      <c r="Y32" s="127" t="s">
        <v>311</v>
      </c>
    </row>
    <row r="33" spans="1:25" hidden="1" x14ac:dyDescent="0.25">
      <c r="A33" t="s">
        <v>56</v>
      </c>
      <c r="B33" t="s">
        <v>57</v>
      </c>
      <c r="C33" s="75">
        <v>2250</v>
      </c>
      <c r="D33" s="75">
        <v>0</v>
      </c>
      <c r="E33" s="75">
        <v>2000</v>
      </c>
      <c r="F33" s="75"/>
      <c r="G33" s="75"/>
      <c r="H33" s="75">
        <v>4250</v>
      </c>
      <c r="I33" s="75">
        <v>0</v>
      </c>
      <c r="J33" s="75">
        <v>0</v>
      </c>
      <c r="K33" s="75">
        <v>0</v>
      </c>
      <c r="L33" s="75">
        <v>0</v>
      </c>
      <c r="M33" s="75">
        <v>45.15</v>
      </c>
      <c r="N33" s="75">
        <v>0</v>
      </c>
      <c r="O33" s="75">
        <v>0</v>
      </c>
      <c r="P33" s="75">
        <v>45.15</v>
      </c>
      <c r="Q33" s="75">
        <v>4204.8500000000004</v>
      </c>
      <c r="R33" s="75">
        <v>4204.8500000000004</v>
      </c>
      <c r="S33" s="75">
        <v>437.96300000000002</v>
      </c>
      <c r="T33" s="75">
        <v>21.911999999999999</v>
      </c>
      <c r="U33" s="75">
        <v>4664.7250000000004</v>
      </c>
      <c r="V33" s="75">
        <v>746.35600000000011</v>
      </c>
      <c r="W33" s="75">
        <v>5411.0810000000001</v>
      </c>
      <c r="X33" t="s">
        <v>192</v>
      </c>
      <c r="Y33" s="127" t="s">
        <v>312</v>
      </c>
    </row>
    <row r="34" spans="1:25" hidden="1" x14ac:dyDescent="0.25">
      <c r="A34" t="s">
        <v>58</v>
      </c>
      <c r="B34" t="s">
        <v>59</v>
      </c>
      <c r="C34" s="75">
        <v>2000</v>
      </c>
      <c r="D34" s="75">
        <v>125.12056780965156</v>
      </c>
      <c r="E34" s="75">
        <v>1505</v>
      </c>
      <c r="F34" s="75"/>
      <c r="G34" s="75"/>
      <c r="H34" s="75">
        <v>3630.1205678096517</v>
      </c>
      <c r="I34" s="75">
        <v>0</v>
      </c>
      <c r="J34" s="75">
        <v>0</v>
      </c>
      <c r="K34" s="75">
        <v>0</v>
      </c>
      <c r="L34" s="75">
        <v>0</v>
      </c>
      <c r="M34" s="75">
        <v>45.15</v>
      </c>
      <c r="N34" s="75">
        <v>0</v>
      </c>
      <c r="O34" s="75">
        <v>0</v>
      </c>
      <c r="P34" s="75">
        <v>45.15</v>
      </c>
      <c r="Q34" s="75">
        <v>3584.9705678096516</v>
      </c>
      <c r="R34" s="75">
        <v>3584.9705678096516</v>
      </c>
      <c r="S34" s="75">
        <v>364.858</v>
      </c>
      <c r="T34" s="75">
        <v>21.911999999999999</v>
      </c>
      <c r="U34" s="75">
        <v>3971.7405678096516</v>
      </c>
      <c r="V34" s="75">
        <v>635.4784908495443</v>
      </c>
      <c r="W34" s="75">
        <v>4607.219058659196</v>
      </c>
      <c r="X34" t="s">
        <v>225</v>
      </c>
      <c r="Y34" s="127" t="s">
        <v>311</v>
      </c>
    </row>
    <row r="35" spans="1:25" hidden="1" x14ac:dyDescent="0.25">
      <c r="A35" t="s">
        <v>60</v>
      </c>
      <c r="B35" t="s">
        <v>61</v>
      </c>
      <c r="C35" s="75">
        <v>1200</v>
      </c>
      <c r="D35" s="75">
        <v>160.37636329558455</v>
      </c>
      <c r="E35" s="75">
        <v>1250.5999999999999</v>
      </c>
      <c r="F35" s="75"/>
      <c r="G35" s="75"/>
      <c r="H35" s="75">
        <v>2610.9763632955846</v>
      </c>
      <c r="I35" s="75">
        <v>0</v>
      </c>
      <c r="J35" s="75">
        <v>0</v>
      </c>
      <c r="K35" s="75">
        <v>0</v>
      </c>
      <c r="L35" s="75">
        <v>0</v>
      </c>
      <c r="M35" s="75">
        <v>45.15</v>
      </c>
      <c r="N35" s="75">
        <v>0</v>
      </c>
      <c r="O35" s="75">
        <v>0</v>
      </c>
      <c r="P35" s="75">
        <v>45.15</v>
      </c>
      <c r="Q35" s="75">
        <v>2565.8263632955845</v>
      </c>
      <c r="R35" s="75">
        <v>2565.8263632955845</v>
      </c>
      <c r="S35" s="75">
        <v>253.05699999999999</v>
      </c>
      <c r="T35" s="75">
        <v>21.911999999999999</v>
      </c>
      <c r="U35" s="75">
        <v>2840.7953632955841</v>
      </c>
      <c r="V35" s="75">
        <v>454.52725812729346</v>
      </c>
      <c r="W35" s="75">
        <v>3295.3226214228775</v>
      </c>
      <c r="X35" t="s">
        <v>190</v>
      </c>
      <c r="Y35" s="127" t="s">
        <v>314</v>
      </c>
    </row>
    <row r="36" spans="1:25" hidden="1" x14ac:dyDescent="0.25">
      <c r="A36" t="s">
        <v>62</v>
      </c>
      <c r="B36" t="s">
        <v>63</v>
      </c>
      <c r="C36" s="75">
        <v>2000</v>
      </c>
      <c r="D36" s="75">
        <v>0</v>
      </c>
      <c r="E36" s="75">
        <v>2000</v>
      </c>
      <c r="F36" s="75"/>
      <c r="G36" s="75"/>
      <c r="H36" s="75">
        <v>4000</v>
      </c>
      <c r="I36" s="75">
        <v>0</v>
      </c>
      <c r="J36" s="75">
        <v>0</v>
      </c>
      <c r="K36" s="75">
        <v>0</v>
      </c>
      <c r="L36" s="75">
        <v>0</v>
      </c>
      <c r="M36" s="75">
        <v>45.15</v>
      </c>
      <c r="N36" s="75">
        <v>313.89999999999998</v>
      </c>
      <c r="O36" s="75">
        <v>0</v>
      </c>
      <c r="P36" s="75">
        <v>359.04999999999995</v>
      </c>
      <c r="Q36" s="75">
        <v>3640.95</v>
      </c>
      <c r="R36" s="75">
        <v>3954.85</v>
      </c>
      <c r="S36" s="75">
        <v>414.358</v>
      </c>
      <c r="T36" s="75">
        <v>21.911999999999999</v>
      </c>
      <c r="U36" s="75">
        <v>4391.12</v>
      </c>
      <c r="V36" s="75">
        <v>702.57920000000001</v>
      </c>
      <c r="W36" s="75">
        <v>5093.6992</v>
      </c>
      <c r="X36" t="s">
        <v>192</v>
      </c>
      <c r="Y36" s="127" t="s">
        <v>313</v>
      </c>
    </row>
    <row r="37" spans="1:25" hidden="1" x14ac:dyDescent="0.25">
      <c r="A37" t="s">
        <v>64</v>
      </c>
      <c r="B37" t="s">
        <v>65</v>
      </c>
      <c r="C37" s="75">
        <v>1200</v>
      </c>
      <c r="D37" s="75">
        <v>145.37389713135775</v>
      </c>
      <c r="E37" s="75">
        <v>1731.73</v>
      </c>
      <c r="F37" s="75"/>
      <c r="G37" s="75"/>
      <c r="H37" s="75">
        <v>3077.1038971313578</v>
      </c>
      <c r="I37" s="75">
        <v>0</v>
      </c>
      <c r="J37" s="75">
        <v>0</v>
      </c>
      <c r="K37" s="75">
        <v>0</v>
      </c>
      <c r="L37" s="75">
        <v>0</v>
      </c>
      <c r="M37" s="75">
        <v>45.15</v>
      </c>
      <c r="N37" s="75">
        <v>215.92</v>
      </c>
      <c r="O37" s="75">
        <v>0</v>
      </c>
      <c r="P37" s="75">
        <v>261.07</v>
      </c>
      <c r="Q37" s="75">
        <v>2816.0338971313577</v>
      </c>
      <c r="R37" s="75">
        <v>3031.9538971313577</v>
      </c>
      <c r="S37" s="75">
        <v>301.17</v>
      </c>
      <c r="T37" s="75">
        <v>21.911999999999999</v>
      </c>
      <c r="U37" s="75">
        <v>3355.0358971313576</v>
      </c>
      <c r="V37" s="75">
        <v>536.80574354101725</v>
      </c>
      <c r="W37" s="75">
        <v>3891.841640672375</v>
      </c>
      <c r="X37" t="s">
        <v>190</v>
      </c>
      <c r="Y37" s="127" t="s">
        <v>314</v>
      </c>
    </row>
    <row r="38" spans="1:25" hidden="1" x14ac:dyDescent="0.25">
      <c r="A38" t="s">
        <v>66</v>
      </c>
      <c r="B38" t="s">
        <v>67</v>
      </c>
      <c r="C38" s="75">
        <v>1750</v>
      </c>
      <c r="D38" s="75">
        <v>0</v>
      </c>
      <c r="E38" s="75">
        <v>13289.98</v>
      </c>
      <c r="F38" s="75"/>
      <c r="G38" s="75"/>
      <c r="H38" s="75">
        <v>15039.98</v>
      </c>
      <c r="I38" s="75">
        <v>0</v>
      </c>
      <c r="J38" s="75">
        <v>0</v>
      </c>
      <c r="K38" s="75">
        <v>0</v>
      </c>
      <c r="L38" s="75">
        <v>0</v>
      </c>
      <c r="M38" s="75">
        <v>45.15</v>
      </c>
      <c r="N38" s="75">
        <v>0</v>
      </c>
      <c r="O38" s="75">
        <v>1518.356</v>
      </c>
      <c r="P38" s="75">
        <v>1563.5060000000001</v>
      </c>
      <c r="Q38" s="75">
        <v>13476.474</v>
      </c>
      <c r="R38" s="75">
        <v>14994.83</v>
      </c>
      <c r="S38" s="75">
        <v>0</v>
      </c>
      <c r="T38" s="75">
        <v>21.911999999999999</v>
      </c>
      <c r="U38" s="75">
        <v>15016.742</v>
      </c>
      <c r="V38" s="75">
        <v>2402.6787199999999</v>
      </c>
      <c r="W38" s="75">
        <v>17419.420720000002</v>
      </c>
      <c r="X38" t="s">
        <v>192</v>
      </c>
      <c r="Y38" s="127" t="s">
        <v>313</v>
      </c>
    </row>
    <row r="39" spans="1:25" hidden="1" x14ac:dyDescent="0.25">
      <c r="A39" t="s">
        <v>68</v>
      </c>
      <c r="B39" t="s">
        <v>69</v>
      </c>
      <c r="C39" s="75">
        <v>2750</v>
      </c>
      <c r="D39" s="75">
        <v>0</v>
      </c>
      <c r="E39" s="75">
        <v>3500</v>
      </c>
      <c r="F39" s="75"/>
      <c r="G39" s="75"/>
      <c r="H39" s="75">
        <v>6250</v>
      </c>
      <c r="I39" s="75">
        <v>183.33</v>
      </c>
      <c r="J39" s="75">
        <v>0</v>
      </c>
      <c r="K39" s="75">
        <v>0</v>
      </c>
      <c r="L39" s="75">
        <v>0</v>
      </c>
      <c r="M39" s="75">
        <v>45.15</v>
      </c>
      <c r="N39" s="75">
        <v>0</v>
      </c>
      <c r="O39" s="75">
        <v>635.02200000000005</v>
      </c>
      <c r="P39" s="75">
        <v>863.50200000000007</v>
      </c>
      <c r="Q39" s="75">
        <v>5386.4979999999996</v>
      </c>
      <c r="R39" s="75">
        <v>6204.85</v>
      </c>
      <c r="S39" s="75">
        <v>0</v>
      </c>
      <c r="T39" s="75">
        <v>21.911999999999999</v>
      </c>
      <c r="U39" s="75">
        <v>6226.7620000000006</v>
      </c>
      <c r="V39" s="75">
        <v>996.28192000000013</v>
      </c>
      <c r="W39" s="75">
        <v>7223.043920000001</v>
      </c>
      <c r="X39" t="s">
        <v>192</v>
      </c>
      <c r="Y39" s="127" t="s">
        <v>311</v>
      </c>
    </row>
    <row r="40" spans="1:25" hidden="1" x14ac:dyDescent="0.25">
      <c r="A40" t="s">
        <v>70</v>
      </c>
      <c r="B40" t="s">
        <v>71</v>
      </c>
      <c r="C40" s="75">
        <v>3500</v>
      </c>
      <c r="D40" s="75">
        <v>0</v>
      </c>
      <c r="E40" s="75">
        <v>25114.12</v>
      </c>
      <c r="F40" s="75"/>
      <c r="G40" s="75"/>
      <c r="H40" s="75">
        <v>28614.12</v>
      </c>
      <c r="I40" s="75">
        <v>0</v>
      </c>
      <c r="J40" s="75">
        <v>0</v>
      </c>
      <c r="K40" s="75">
        <v>0</v>
      </c>
      <c r="L40" s="75">
        <v>0</v>
      </c>
      <c r="M40" s="75">
        <v>45.15</v>
      </c>
      <c r="N40" s="75">
        <v>357.22</v>
      </c>
      <c r="O40" s="75">
        <v>2869.4089999999997</v>
      </c>
      <c r="P40" s="75">
        <v>3271.7789999999995</v>
      </c>
      <c r="Q40" s="75">
        <v>25342.341</v>
      </c>
      <c r="R40" s="75">
        <v>28568.969999999998</v>
      </c>
      <c r="S40" s="75">
        <v>0</v>
      </c>
      <c r="T40" s="75">
        <v>21.911999999999999</v>
      </c>
      <c r="U40" s="75">
        <v>28590.881999999998</v>
      </c>
      <c r="V40" s="75">
        <v>4574.5411199999999</v>
      </c>
      <c r="W40" s="75">
        <v>33165.423119999999</v>
      </c>
      <c r="X40" t="s">
        <v>233</v>
      </c>
      <c r="Y40" s="127" t="s">
        <v>313</v>
      </c>
    </row>
    <row r="41" spans="1:25" hidden="1" x14ac:dyDescent="0.25">
      <c r="A41" t="s">
        <v>72</v>
      </c>
      <c r="B41" t="s">
        <v>73</v>
      </c>
      <c r="C41" s="75">
        <v>2000</v>
      </c>
      <c r="D41" s="75">
        <v>0</v>
      </c>
      <c r="E41" s="75">
        <v>2735</v>
      </c>
      <c r="F41" s="75"/>
      <c r="G41" s="75"/>
      <c r="H41" s="75">
        <v>4735</v>
      </c>
      <c r="I41" s="75">
        <v>0</v>
      </c>
      <c r="J41" s="75">
        <v>0</v>
      </c>
      <c r="K41" s="75">
        <v>0</v>
      </c>
      <c r="L41" s="75">
        <v>0</v>
      </c>
      <c r="M41" s="75">
        <v>45.15</v>
      </c>
      <c r="N41" s="75">
        <v>0</v>
      </c>
      <c r="O41" s="75">
        <v>487.858</v>
      </c>
      <c r="P41" s="75">
        <v>533.00800000000004</v>
      </c>
      <c r="Q41" s="75">
        <v>4201.9920000000002</v>
      </c>
      <c r="R41" s="75">
        <v>4689.8500000000004</v>
      </c>
      <c r="S41" s="75">
        <v>0</v>
      </c>
      <c r="T41" s="75">
        <v>21.911999999999999</v>
      </c>
      <c r="U41" s="75">
        <v>4711.7620000000006</v>
      </c>
      <c r="V41" s="75">
        <v>753.88192000000015</v>
      </c>
      <c r="W41" s="75">
        <v>5465.6439200000004</v>
      </c>
      <c r="X41" t="s">
        <v>190</v>
      </c>
      <c r="Y41" s="127" t="s">
        <v>311</v>
      </c>
    </row>
    <row r="42" spans="1:25" hidden="1" x14ac:dyDescent="0.25">
      <c r="A42" t="s">
        <v>155</v>
      </c>
      <c r="B42" t="s">
        <v>156</v>
      </c>
      <c r="C42" s="75">
        <v>5550</v>
      </c>
      <c r="D42" s="75">
        <v>0</v>
      </c>
      <c r="E42" s="75">
        <v>0</v>
      </c>
      <c r="F42" s="75"/>
      <c r="G42" s="75"/>
      <c r="H42" s="75">
        <v>5550</v>
      </c>
      <c r="I42" s="75">
        <v>0</v>
      </c>
      <c r="J42" s="75">
        <v>0</v>
      </c>
      <c r="K42" s="75">
        <v>0</v>
      </c>
      <c r="L42" s="75">
        <v>0</v>
      </c>
      <c r="M42" s="75">
        <v>45.15</v>
      </c>
      <c r="N42" s="75">
        <v>0</v>
      </c>
      <c r="O42" s="75">
        <v>550.48500000000001</v>
      </c>
      <c r="P42" s="75">
        <v>595.63499999999999</v>
      </c>
      <c r="Q42" s="75">
        <v>4954.3649999999998</v>
      </c>
      <c r="R42" s="75">
        <v>5504.85</v>
      </c>
      <c r="S42" s="75">
        <v>0</v>
      </c>
      <c r="T42" s="75">
        <v>21.911999999999999</v>
      </c>
      <c r="U42" s="75">
        <v>5526.7620000000006</v>
      </c>
      <c r="V42" s="75">
        <v>884.28192000000013</v>
      </c>
      <c r="W42" s="75">
        <v>6411.043920000001</v>
      </c>
      <c r="X42" t="s">
        <v>236</v>
      </c>
      <c r="Y42" s="127" t="s">
        <v>312</v>
      </c>
    </row>
    <row r="43" spans="1:25" hidden="1" x14ac:dyDescent="0.25">
      <c r="A43" t="s">
        <v>74</v>
      </c>
      <c r="B43" t="s">
        <v>75</v>
      </c>
      <c r="C43" s="75">
        <v>1750</v>
      </c>
      <c r="D43" s="75">
        <v>0</v>
      </c>
      <c r="E43" s="75">
        <v>2637.8</v>
      </c>
      <c r="F43" s="75"/>
      <c r="G43" s="75"/>
      <c r="H43" s="75">
        <v>4387.8</v>
      </c>
      <c r="I43" s="75">
        <v>0</v>
      </c>
      <c r="J43" s="75">
        <v>0</v>
      </c>
      <c r="K43" s="75">
        <v>0</v>
      </c>
      <c r="L43" s="75">
        <v>0</v>
      </c>
      <c r="M43" s="75">
        <v>45.15</v>
      </c>
      <c r="N43" s="75">
        <v>0</v>
      </c>
      <c r="O43" s="75">
        <v>0</v>
      </c>
      <c r="P43" s="75">
        <v>45.15</v>
      </c>
      <c r="Q43" s="75">
        <v>4342.6500000000005</v>
      </c>
      <c r="R43" s="75">
        <v>4342.6500000000005</v>
      </c>
      <c r="S43" s="75">
        <v>434.2650000000001</v>
      </c>
      <c r="T43" s="75">
        <v>21.911999999999999</v>
      </c>
      <c r="U43" s="75">
        <v>4798.8270000000011</v>
      </c>
      <c r="V43" s="75">
        <v>767.81232000000023</v>
      </c>
      <c r="W43" s="75">
        <v>5566.6393200000011</v>
      </c>
      <c r="X43" t="s">
        <v>190</v>
      </c>
      <c r="Y43" s="127" t="s">
        <v>314</v>
      </c>
    </row>
    <row r="44" spans="1:25" hidden="1" x14ac:dyDescent="0.25">
      <c r="A44" t="s">
        <v>76</v>
      </c>
      <c r="B44" t="s">
        <v>77</v>
      </c>
      <c r="C44" s="75">
        <v>1000</v>
      </c>
      <c r="D44" s="75">
        <v>200.73299727735468</v>
      </c>
      <c r="E44" s="75">
        <v>0</v>
      </c>
      <c r="F44" s="75"/>
      <c r="G44" s="75"/>
      <c r="H44" s="75">
        <v>1200.7329972773546</v>
      </c>
      <c r="I44" s="75">
        <v>0</v>
      </c>
      <c r="J44" s="75">
        <v>0</v>
      </c>
      <c r="K44" s="75">
        <v>0</v>
      </c>
      <c r="L44" s="75">
        <v>0</v>
      </c>
      <c r="M44" s="75">
        <v>45.15</v>
      </c>
      <c r="N44" s="75">
        <v>0</v>
      </c>
      <c r="O44" s="75">
        <v>0</v>
      </c>
      <c r="P44" s="75">
        <v>45.15</v>
      </c>
      <c r="Q44" s="75">
        <v>1155.5829972773545</v>
      </c>
      <c r="R44" s="75">
        <v>1155.5829972773545</v>
      </c>
      <c r="S44" s="75">
        <v>115.55799999999999</v>
      </c>
      <c r="T44" s="75">
        <v>18.990400000000001</v>
      </c>
      <c r="U44" s="75">
        <v>1290.1313972773544</v>
      </c>
      <c r="V44" s="75">
        <v>206.4210235643767</v>
      </c>
      <c r="W44" s="75">
        <v>1496.552420841731</v>
      </c>
      <c r="X44" t="s">
        <v>190</v>
      </c>
      <c r="Y44" s="127" t="s">
        <v>311</v>
      </c>
    </row>
    <row r="45" spans="1:25" x14ac:dyDescent="0.25">
      <c r="A45" t="s">
        <v>78</v>
      </c>
      <c r="B45" t="s">
        <v>79</v>
      </c>
      <c r="C45" s="75">
        <v>3500</v>
      </c>
      <c r="D45" s="75">
        <v>0</v>
      </c>
      <c r="E45" s="75">
        <v>25445.65</v>
      </c>
      <c r="F45" s="75"/>
      <c r="G45" s="75"/>
      <c r="H45" s="75">
        <v>28945.65</v>
      </c>
      <c r="I45" s="75">
        <v>0</v>
      </c>
      <c r="J45" s="75">
        <v>0</v>
      </c>
      <c r="K45" s="75">
        <v>0</v>
      </c>
      <c r="L45" s="75">
        <v>0</v>
      </c>
      <c r="M45" s="75">
        <v>45.15</v>
      </c>
      <c r="N45" s="75">
        <v>878.82</v>
      </c>
      <c r="O45" s="75">
        <v>2902.5619999999999</v>
      </c>
      <c r="P45" s="75">
        <v>3826.5320000000002</v>
      </c>
      <c r="Q45" s="75">
        <v>25119.118000000002</v>
      </c>
      <c r="R45" s="75">
        <v>28900.5</v>
      </c>
      <c r="S45" s="75">
        <v>0</v>
      </c>
      <c r="T45" s="75">
        <v>21.911999999999999</v>
      </c>
      <c r="U45" s="75">
        <v>28922.412</v>
      </c>
      <c r="V45" s="75">
        <v>4627.5859200000004</v>
      </c>
      <c r="W45" s="75">
        <v>33549.997920000002</v>
      </c>
      <c r="X45" t="s">
        <v>241</v>
      </c>
      <c r="Y45" s="127" t="s">
        <v>317</v>
      </c>
    </row>
    <row r="46" spans="1:25" hidden="1" x14ac:dyDescent="0.25">
      <c r="A46" t="s">
        <v>80</v>
      </c>
      <c r="B46" t="s">
        <v>81</v>
      </c>
      <c r="C46" s="75">
        <v>3500</v>
      </c>
      <c r="D46" s="75">
        <v>0</v>
      </c>
      <c r="E46" s="75">
        <v>51164</v>
      </c>
      <c r="F46" s="75"/>
      <c r="G46" s="75"/>
      <c r="H46" s="75">
        <v>54664</v>
      </c>
      <c r="I46" s="75">
        <v>0</v>
      </c>
      <c r="J46" s="75">
        <v>0</v>
      </c>
      <c r="K46" s="75">
        <v>0</v>
      </c>
      <c r="L46" s="75">
        <v>0</v>
      </c>
      <c r="M46" s="75">
        <v>45.15</v>
      </c>
      <c r="N46" s="75">
        <v>0</v>
      </c>
      <c r="O46" s="75">
        <v>5474.3970000000008</v>
      </c>
      <c r="P46" s="75">
        <v>5519.5470000000005</v>
      </c>
      <c r="Q46" s="75">
        <v>49144.453000000001</v>
      </c>
      <c r="R46" s="75">
        <v>54618.85</v>
      </c>
      <c r="S46" s="75">
        <v>0</v>
      </c>
      <c r="T46" s="75">
        <v>21.911999999999999</v>
      </c>
      <c r="U46" s="75">
        <v>54640.761999999995</v>
      </c>
      <c r="V46" s="75">
        <v>8742.5219199999992</v>
      </c>
      <c r="W46" s="75">
        <v>63383.283919999994</v>
      </c>
      <c r="X46" t="s">
        <v>200</v>
      </c>
      <c r="Y46" s="127" t="s">
        <v>313</v>
      </c>
    </row>
    <row r="47" spans="1:25" hidden="1" x14ac:dyDescent="0.25">
      <c r="A47" t="s">
        <v>82</v>
      </c>
      <c r="B47" t="s">
        <v>83</v>
      </c>
      <c r="C47" s="75">
        <v>5000</v>
      </c>
      <c r="D47" s="75">
        <v>0</v>
      </c>
      <c r="E47" s="75">
        <v>9036.9500000000007</v>
      </c>
      <c r="F47" s="75"/>
      <c r="G47" s="75"/>
      <c r="H47" s="75">
        <v>14036.95</v>
      </c>
      <c r="I47" s="75">
        <v>0</v>
      </c>
      <c r="J47" s="75">
        <v>0</v>
      </c>
      <c r="K47" s="75">
        <v>0</v>
      </c>
      <c r="L47" s="75">
        <v>0</v>
      </c>
      <c r="M47" s="75">
        <v>45.15</v>
      </c>
      <c r="N47" s="75">
        <v>0</v>
      </c>
      <c r="O47" s="75">
        <v>1399.1800000000003</v>
      </c>
      <c r="P47" s="75">
        <v>1444.3300000000004</v>
      </c>
      <c r="Q47" s="75">
        <v>12592.62</v>
      </c>
      <c r="R47" s="75">
        <v>13991.800000000001</v>
      </c>
      <c r="S47" s="75">
        <v>0</v>
      </c>
      <c r="T47" s="75">
        <v>21.911999999999999</v>
      </c>
      <c r="U47" s="75">
        <v>14013.712000000001</v>
      </c>
      <c r="V47" s="75">
        <v>2242.1939200000002</v>
      </c>
      <c r="W47" s="75">
        <v>16255.905920000001</v>
      </c>
      <c r="X47" t="s">
        <v>225</v>
      </c>
      <c r="Y47" s="127" t="s">
        <v>311</v>
      </c>
    </row>
    <row r="48" spans="1:25" hidden="1" x14ac:dyDescent="0.25">
      <c r="A48" t="s">
        <v>162</v>
      </c>
      <c r="B48" t="s">
        <v>157</v>
      </c>
      <c r="C48" s="75">
        <v>5000</v>
      </c>
      <c r="D48" s="75">
        <v>0</v>
      </c>
      <c r="E48" s="75">
        <v>36115.03</v>
      </c>
      <c r="F48" s="75"/>
      <c r="G48" s="75"/>
      <c r="H48" s="75">
        <v>41115.03</v>
      </c>
      <c r="I48" s="75">
        <v>0</v>
      </c>
      <c r="J48" s="75">
        <v>0</v>
      </c>
      <c r="K48" s="75">
        <v>0</v>
      </c>
      <c r="L48" s="75">
        <v>0</v>
      </c>
      <c r="M48" s="75">
        <v>45.15</v>
      </c>
      <c r="N48" s="75">
        <v>0</v>
      </c>
      <c r="O48" s="75">
        <v>4106.9880000000003</v>
      </c>
      <c r="P48" s="75">
        <v>4152.1379999999999</v>
      </c>
      <c r="Q48" s="75">
        <v>36962.892</v>
      </c>
      <c r="R48" s="75">
        <v>41069.879999999997</v>
      </c>
      <c r="S48" s="75">
        <v>0</v>
      </c>
      <c r="T48" s="75">
        <v>21.911999999999999</v>
      </c>
      <c r="U48" s="75">
        <v>41091.791999999994</v>
      </c>
      <c r="V48" s="75">
        <v>6574.6867199999988</v>
      </c>
      <c r="W48" s="75">
        <v>47666.478719999992</v>
      </c>
      <c r="X48" t="s">
        <v>200</v>
      </c>
      <c r="Y48" s="127" t="s">
        <v>311</v>
      </c>
    </row>
    <row r="49" spans="1:25" hidden="1" x14ac:dyDescent="0.25">
      <c r="A49" t="s">
        <v>86</v>
      </c>
      <c r="B49" t="s">
        <v>87</v>
      </c>
      <c r="C49" s="75">
        <v>2000</v>
      </c>
      <c r="D49" s="75">
        <v>0</v>
      </c>
      <c r="E49" s="75">
        <v>8981.98</v>
      </c>
      <c r="F49" s="75"/>
      <c r="G49" s="75"/>
      <c r="H49" s="75">
        <v>10981.98</v>
      </c>
      <c r="I49" s="75">
        <v>0</v>
      </c>
      <c r="J49" s="75">
        <v>0</v>
      </c>
      <c r="K49" s="75">
        <v>0</v>
      </c>
      <c r="L49" s="75">
        <v>0</v>
      </c>
      <c r="M49" s="75">
        <v>45.15</v>
      </c>
      <c r="N49" s="75">
        <v>1280.0899999999999</v>
      </c>
      <c r="O49" s="75">
        <v>1112.556</v>
      </c>
      <c r="P49" s="75">
        <v>2437.7960000000003</v>
      </c>
      <c r="Q49" s="75">
        <v>8544.1839999999993</v>
      </c>
      <c r="R49" s="75">
        <v>10936.83</v>
      </c>
      <c r="S49" s="75">
        <v>0</v>
      </c>
      <c r="T49" s="75">
        <v>21.911999999999999</v>
      </c>
      <c r="U49" s="75">
        <v>10958.742</v>
      </c>
      <c r="V49" s="75">
        <v>1753.3987200000001</v>
      </c>
      <c r="W49" s="75">
        <v>12712.140719999999</v>
      </c>
      <c r="X49" t="s">
        <v>190</v>
      </c>
      <c r="Y49" s="127" t="s">
        <v>314</v>
      </c>
    </row>
    <row r="50" spans="1:25" hidden="1" x14ac:dyDescent="0.25">
      <c r="A50" t="s">
        <v>88</v>
      </c>
      <c r="B50" t="s">
        <v>89</v>
      </c>
      <c r="C50" s="75">
        <v>1200</v>
      </c>
      <c r="D50" s="75">
        <v>0</v>
      </c>
      <c r="E50" s="75">
        <v>4980.6899999999996</v>
      </c>
      <c r="F50" s="75"/>
      <c r="G50" s="75"/>
      <c r="H50" s="75">
        <v>6180.69</v>
      </c>
      <c r="I50" s="75">
        <v>0</v>
      </c>
      <c r="J50" s="75">
        <v>0</v>
      </c>
      <c r="K50" s="75">
        <v>0</v>
      </c>
      <c r="L50" s="75">
        <v>0</v>
      </c>
      <c r="M50" s="75">
        <v>45.15</v>
      </c>
      <c r="N50" s="75">
        <v>0</v>
      </c>
      <c r="O50" s="75">
        <v>626.06600000000003</v>
      </c>
      <c r="P50" s="75">
        <v>671.21600000000001</v>
      </c>
      <c r="Q50" s="75">
        <v>5509.4739999999993</v>
      </c>
      <c r="R50" s="75">
        <v>6135.54</v>
      </c>
      <c r="S50" s="75">
        <v>0</v>
      </c>
      <c r="T50" s="75">
        <v>21.911999999999999</v>
      </c>
      <c r="U50" s="75">
        <v>6157.4520000000002</v>
      </c>
      <c r="V50" s="75">
        <v>985.19232000000011</v>
      </c>
      <c r="W50" s="75">
        <v>7142.6443200000003</v>
      </c>
      <c r="X50" t="s">
        <v>233</v>
      </c>
      <c r="Y50" s="127" t="s">
        <v>314</v>
      </c>
    </row>
    <row r="51" spans="1:25" hidden="1" x14ac:dyDescent="0.25">
      <c r="A51" t="s">
        <v>90</v>
      </c>
      <c r="B51" t="s">
        <v>91</v>
      </c>
      <c r="C51" s="75">
        <v>1200</v>
      </c>
      <c r="D51" s="75">
        <v>0</v>
      </c>
      <c r="E51" s="75">
        <v>3107.24</v>
      </c>
      <c r="F51" s="75"/>
      <c r="G51" s="75"/>
      <c r="H51" s="75">
        <v>4307.24</v>
      </c>
      <c r="I51" s="75">
        <v>0</v>
      </c>
      <c r="J51" s="75">
        <v>0</v>
      </c>
      <c r="K51" s="75">
        <v>0</v>
      </c>
      <c r="L51" s="75">
        <v>0</v>
      </c>
      <c r="M51" s="75">
        <v>45.15</v>
      </c>
      <c r="N51" s="75">
        <v>0</v>
      </c>
      <c r="O51" s="75">
        <v>0</v>
      </c>
      <c r="P51" s="75">
        <v>45.15</v>
      </c>
      <c r="Q51" s="75">
        <v>4262.09</v>
      </c>
      <c r="R51" s="75">
        <v>4262.09</v>
      </c>
      <c r="S51" s="75">
        <v>426.20900000000006</v>
      </c>
      <c r="T51" s="75">
        <v>21.911999999999999</v>
      </c>
      <c r="U51" s="75">
        <v>4710.2110000000002</v>
      </c>
      <c r="V51" s="75">
        <v>753.63376000000005</v>
      </c>
      <c r="W51" s="75">
        <v>5463.84476</v>
      </c>
      <c r="X51" t="s">
        <v>233</v>
      </c>
      <c r="Y51" s="127" t="s">
        <v>314</v>
      </c>
    </row>
    <row r="52" spans="1:25" hidden="1" x14ac:dyDescent="0.25">
      <c r="A52" t="s">
        <v>92</v>
      </c>
      <c r="B52" t="s">
        <v>93</v>
      </c>
      <c r="C52" s="75">
        <v>2000</v>
      </c>
      <c r="D52" s="75">
        <v>0</v>
      </c>
      <c r="E52" s="75">
        <v>5129.58</v>
      </c>
      <c r="F52" s="75"/>
      <c r="G52" s="75"/>
      <c r="H52" s="75">
        <v>7129.58</v>
      </c>
      <c r="I52" s="75">
        <v>0</v>
      </c>
      <c r="J52" s="75">
        <v>0</v>
      </c>
      <c r="K52" s="75">
        <v>0</v>
      </c>
      <c r="L52" s="75">
        <v>0</v>
      </c>
      <c r="M52" s="75">
        <v>45.15</v>
      </c>
      <c r="N52" s="75">
        <v>0</v>
      </c>
      <c r="O52" s="75">
        <v>727.31600000000003</v>
      </c>
      <c r="P52" s="75">
        <v>772.46600000000001</v>
      </c>
      <c r="Q52" s="75">
        <v>6357.1139999999996</v>
      </c>
      <c r="R52" s="75">
        <v>7084.43</v>
      </c>
      <c r="S52" s="75">
        <v>0</v>
      </c>
      <c r="T52" s="75">
        <v>21.911999999999999</v>
      </c>
      <c r="U52" s="75">
        <v>7106.3420000000006</v>
      </c>
      <c r="V52" s="75">
        <v>1137.0147200000001</v>
      </c>
      <c r="W52" s="75">
        <v>8243.3567199999998</v>
      </c>
      <c r="X52" t="s">
        <v>251</v>
      </c>
      <c r="Y52" s="127" t="s">
        <v>315</v>
      </c>
    </row>
    <row r="53" spans="1:25" hidden="1" x14ac:dyDescent="0.25">
      <c r="A53" t="s">
        <v>94</v>
      </c>
      <c r="B53" t="s">
        <v>95</v>
      </c>
      <c r="C53" s="75">
        <v>3000</v>
      </c>
      <c r="D53" s="75">
        <v>0</v>
      </c>
      <c r="E53" s="75">
        <v>2000</v>
      </c>
      <c r="F53" s="75"/>
      <c r="G53" s="75"/>
      <c r="H53" s="75">
        <v>5000</v>
      </c>
      <c r="I53" s="75">
        <v>0</v>
      </c>
      <c r="J53" s="75">
        <v>0</v>
      </c>
      <c r="K53" s="75">
        <v>0</v>
      </c>
      <c r="L53" s="75">
        <v>0</v>
      </c>
      <c r="M53" s="75">
        <v>45.15</v>
      </c>
      <c r="N53" s="75">
        <v>0</v>
      </c>
      <c r="O53" s="75">
        <v>514.35800000000006</v>
      </c>
      <c r="P53" s="75">
        <v>559.50800000000004</v>
      </c>
      <c r="Q53" s="75">
        <v>4440.4920000000002</v>
      </c>
      <c r="R53" s="75">
        <v>4954.8500000000004</v>
      </c>
      <c r="S53" s="75">
        <v>0</v>
      </c>
      <c r="T53" s="75">
        <v>21.911999999999999</v>
      </c>
      <c r="U53" s="75">
        <v>4976.7620000000006</v>
      </c>
      <c r="V53" s="75">
        <v>796.28192000000013</v>
      </c>
      <c r="W53" s="75">
        <v>5773.043920000001</v>
      </c>
      <c r="X53" t="s">
        <v>192</v>
      </c>
      <c r="Y53" s="127" t="s">
        <v>311</v>
      </c>
    </row>
    <row r="54" spans="1:25" hidden="1" x14ac:dyDescent="0.25">
      <c r="B54" t="s">
        <v>301</v>
      </c>
      <c r="C54" s="75">
        <v>3000</v>
      </c>
      <c r="D54" s="75">
        <v>145.37389713135775</v>
      </c>
      <c r="E54" s="75">
        <v>0</v>
      </c>
      <c r="F54" s="75"/>
      <c r="G54" s="75"/>
      <c r="H54" s="75">
        <v>3145.3738971313578</v>
      </c>
      <c r="I54" s="75">
        <v>0</v>
      </c>
      <c r="J54" s="75">
        <v>0</v>
      </c>
      <c r="K54" s="75">
        <v>0</v>
      </c>
      <c r="L54" s="75">
        <v>0</v>
      </c>
      <c r="M54" s="75">
        <v>45.15</v>
      </c>
      <c r="N54" s="75">
        <v>0</v>
      </c>
      <c r="O54" s="75">
        <v>0</v>
      </c>
      <c r="P54" s="75">
        <v>45.15</v>
      </c>
      <c r="Q54" s="75">
        <v>3100.2238971313577</v>
      </c>
      <c r="R54" s="75">
        <v>3100.2238971313577</v>
      </c>
      <c r="S54" s="75">
        <v>295.48500000000001</v>
      </c>
      <c r="T54" s="75">
        <v>21.911999999999999</v>
      </c>
      <c r="U54" s="75">
        <v>3417.6208971313577</v>
      </c>
      <c r="V54" s="75">
        <v>546.81934354101725</v>
      </c>
      <c r="W54" s="75">
        <v>3964.4402406723748</v>
      </c>
      <c r="X54" t="s">
        <v>225</v>
      </c>
      <c r="Y54" s="127" t="s">
        <v>314</v>
      </c>
    </row>
    <row r="55" spans="1:25" hidden="1" x14ac:dyDescent="0.25">
      <c r="A55" t="s">
        <v>96</v>
      </c>
      <c r="B55" t="s">
        <v>97</v>
      </c>
      <c r="C55" s="75">
        <v>1200</v>
      </c>
      <c r="D55" s="75">
        <v>0</v>
      </c>
      <c r="E55" s="75">
        <v>4932</v>
      </c>
      <c r="F55" s="75"/>
      <c r="G55" s="75"/>
      <c r="H55" s="75">
        <v>6132</v>
      </c>
      <c r="I55" s="75">
        <v>0</v>
      </c>
      <c r="J55" s="75">
        <v>0</v>
      </c>
      <c r="K55" s="75">
        <v>0</v>
      </c>
      <c r="L55" s="75">
        <v>0</v>
      </c>
      <c r="M55" s="75">
        <v>45.15</v>
      </c>
      <c r="N55" s="75">
        <v>0</v>
      </c>
      <c r="O55" s="75">
        <v>621.19700000000012</v>
      </c>
      <c r="P55" s="75">
        <v>666.34700000000009</v>
      </c>
      <c r="Q55" s="75">
        <v>5465.6530000000002</v>
      </c>
      <c r="R55" s="75">
        <v>6086.85</v>
      </c>
      <c r="S55" s="75">
        <v>0</v>
      </c>
      <c r="T55" s="75">
        <v>21.911999999999999</v>
      </c>
      <c r="U55" s="75">
        <v>6108.7620000000006</v>
      </c>
      <c r="V55" s="75">
        <v>977.40192000000013</v>
      </c>
      <c r="W55" s="75">
        <v>7086.1639200000009</v>
      </c>
      <c r="X55" t="s">
        <v>190</v>
      </c>
      <c r="Y55" s="127" t="s">
        <v>314</v>
      </c>
    </row>
    <row r="56" spans="1:25" hidden="1" x14ac:dyDescent="0.25">
      <c r="A56" t="s">
        <v>98</v>
      </c>
      <c r="B56" t="s">
        <v>99</v>
      </c>
      <c r="C56" s="75">
        <v>1200</v>
      </c>
      <c r="D56" s="75">
        <v>0</v>
      </c>
      <c r="E56" s="75">
        <v>5117.09</v>
      </c>
      <c r="F56" s="75"/>
      <c r="G56" s="75"/>
      <c r="H56" s="75">
        <v>6317.09</v>
      </c>
      <c r="I56" s="75">
        <v>0</v>
      </c>
      <c r="J56" s="75">
        <v>0</v>
      </c>
      <c r="K56" s="75">
        <v>0</v>
      </c>
      <c r="L56" s="75">
        <v>0</v>
      </c>
      <c r="M56" s="75">
        <v>45.15</v>
      </c>
      <c r="N56" s="75">
        <v>340.56</v>
      </c>
      <c r="O56" s="75">
        <v>627.19400000000007</v>
      </c>
      <c r="P56" s="75">
        <v>1012.904</v>
      </c>
      <c r="Q56" s="75">
        <v>5304.1859999999997</v>
      </c>
      <c r="R56" s="75">
        <v>6271.9400000000005</v>
      </c>
      <c r="S56" s="75">
        <v>0</v>
      </c>
      <c r="T56" s="75">
        <v>21.911999999999999</v>
      </c>
      <c r="U56" s="75">
        <v>6293.8520000000008</v>
      </c>
      <c r="V56" s="75">
        <v>1007.0163200000002</v>
      </c>
      <c r="W56" s="75">
        <v>7300.8683200000014</v>
      </c>
      <c r="X56" t="s">
        <v>190</v>
      </c>
      <c r="Y56" s="127" t="s">
        <v>314</v>
      </c>
    </row>
    <row r="57" spans="1:25" hidden="1" x14ac:dyDescent="0.25">
      <c r="A57" t="s">
        <v>100</v>
      </c>
      <c r="B57" t="s">
        <v>101</v>
      </c>
      <c r="C57" s="75">
        <v>2000</v>
      </c>
      <c r="D57" s="75">
        <v>0</v>
      </c>
      <c r="E57" s="75">
        <v>10707.26</v>
      </c>
      <c r="F57" s="75"/>
      <c r="G57" s="75"/>
      <c r="H57" s="75">
        <v>12707.26</v>
      </c>
      <c r="I57" s="75">
        <v>0</v>
      </c>
      <c r="J57" s="75">
        <v>0</v>
      </c>
      <c r="K57" s="75">
        <v>0</v>
      </c>
      <c r="L57" s="75">
        <v>0</v>
      </c>
      <c r="M57" s="75">
        <v>45.15</v>
      </c>
      <c r="N57" s="75">
        <v>0</v>
      </c>
      <c r="O57" s="75">
        <v>1285.0840000000001</v>
      </c>
      <c r="P57" s="75">
        <v>1330.2340000000002</v>
      </c>
      <c r="Q57" s="75">
        <v>11377.026</v>
      </c>
      <c r="R57" s="75">
        <v>12662.11</v>
      </c>
      <c r="S57" s="75">
        <v>0</v>
      </c>
      <c r="T57" s="75">
        <v>21.911999999999999</v>
      </c>
      <c r="U57" s="75">
        <v>12684.022000000001</v>
      </c>
      <c r="V57" s="75">
        <v>2029.4435200000003</v>
      </c>
      <c r="W57" s="75">
        <v>14713.465520000002</v>
      </c>
      <c r="X57" t="s">
        <v>192</v>
      </c>
      <c r="Y57" s="127" t="s">
        <v>311</v>
      </c>
    </row>
    <row r="58" spans="1:25" hidden="1" x14ac:dyDescent="0.25">
      <c r="A58" t="s">
        <v>102</v>
      </c>
      <c r="B58" t="s">
        <v>103</v>
      </c>
      <c r="C58" s="75">
        <v>3500</v>
      </c>
      <c r="D58" s="75">
        <v>0</v>
      </c>
      <c r="E58" s="75">
        <v>19908.830000000002</v>
      </c>
      <c r="F58" s="75"/>
      <c r="G58" s="75"/>
      <c r="H58" s="75">
        <v>23408.83</v>
      </c>
      <c r="I58" s="75">
        <v>0</v>
      </c>
      <c r="J58" s="75">
        <v>0</v>
      </c>
      <c r="K58" s="75">
        <v>0</v>
      </c>
      <c r="L58" s="75">
        <v>0</v>
      </c>
      <c r="M58" s="75">
        <v>45.15</v>
      </c>
      <c r="N58" s="75">
        <v>0</v>
      </c>
      <c r="O58" s="75">
        <v>2348.88</v>
      </c>
      <c r="P58" s="75">
        <v>2394.0300000000002</v>
      </c>
      <c r="Q58" s="75">
        <v>21014.800000000003</v>
      </c>
      <c r="R58" s="75">
        <v>23363.68</v>
      </c>
      <c r="S58" s="75">
        <v>0</v>
      </c>
      <c r="T58" s="75">
        <v>21.911999999999999</v>
      </c>
      <c r="U58" s="75">
        <v>23385.592000000001</v>
      </c>
      <c r="V58" s="75">
        <v>3741.69472</v>
      </c>
      <c r="W58" s="75">
        <v>27127.28672</v>
      </c>
      <c r="X58" t="s">
        <v>251</v>
      </c>
      <c r="Y58" s="127" t="s">
        <v>315</v>
      </c>
    </row>
    <row r="59" spans="1:25" hidden="1" x14ac:dyDescent="0.25">
      <c r="A59" t="s">
        <v>104</v>
      </c>
      <c r="B59" t="s">
        <v>105</v>
      </c>
      <c r="C59" s="75">
        <v>12500</v>
      </c>
      <c r="D59" s="75">
        <v>0</v>
      </c>
      <c r="E59" s="75">
        <v>0</v>
      </c>
      <c r="F59" s="75"/>
      <c r="G59" s="75"/>
      <c r="H59" s="75">
        <v>12500</v>
      </c>
      <c r="I59" s="75">
        <v>0</v>
      </c>
      <c r="J59" s="75">
        <v>0</v>
      </c>
      <c r="K59" s="75">
        <v>117.81</v>
      </c>
      <c r="L59" s="75">
        <v>0</v>
      </c>
      <c r="M59" s="75">
        <v>45.15</v>
      </c>
      <c r="N59" s="75">
        <v>0</v>
      </c>
      <c r="O59" s="75">
        <v>1245.4850000000001</v>
      </c>
      <c r="P59" s="75">
        <v>1408.4450000000002</v>
      </c>
      <c r="Q59" s="75">
        <v>11091.555</v>
      </c>
      <c r="R59" s="75">
        <v>12454.85</v>
      </c>
      <c r="S59" s="75">
        <v>0</v>
      </c>
      <c r="T59" s="75">
        <v>21.911999999999999</v>
      </c>
      <c r="U59" s="75">
        <v>12476.762000000001</v>
      </c>
      <c r="V59" s="75">
        <v>1996.2819200000001</v>
      </c>
      <c r="W59" s="75">
        <v>14473.04392</v>
      </c>
      <c r="X59" t="s">
        <v>236</v>
      </c>
      <c r="Y59" s="127" t="s">
        <v>312</v>
      </c>
    </row>
    <row r="60" spans="1:25" hidden="1" x14ac:dyDescent="0.25">
      <c r="A60" t="s">
        <v>106</v>
      </c>
      <c r="B60" t="s">
        <v>107</v>
      </c>
      <c r="C60" s="75">
        <v>3500</v>
      </c>
      <c r="D60" s="75">
        <v>0</v>
      </c>
      <c r="E60" s="75">
        <v>8981.98</v>
      </c>
      <c r="F60" s="75"/>
      <c r="G60" s="75"/>
      <c r="H60" s="75">
        <v>12481.98</v>
      </c>
      <c r="I60" s="75">
        <v>0</v>
      </c>
      <c r="J60" s="75">
        <v>0</v>
      </c>
      <c r="K60" s="75">
        <v>0</v>
      </c>
      <c r="L60" s="75">
        <v>0</v>
      </c>
      <c r="M60" s="75">
        <v>45.15</v>
      </c>
      <c r="N60" s="75">
        <v>741.3</v>
      </c>
      <c r="O60" s="75">
        <v>1256.1950000000002</v>
      </c>
      <c r="P60" s="75">
        <v>2042.645</v>
      </c>
      <c r="Q60" s="75">
        <v>10439.334999999999</v>
      </c>
      <c r="R60" s="75">
        <v>12436.83</v>
      </c>
      <c r="S60" s="75">
        <v>0</v>
      </c>
      <c r="T60" s="75">
        <v>21.911999999999999</v>
      </c>
      <c r="U60" s="75">
        <v>12458.742</v>
      </c>
      <c r="V60" s="75">
        <v>1993.3987200000001</v>
      </c>
      <c r="W60" s="75">
        <v>14452.140719999999</v>
      </c>
      <c r="X60" t="s">
        <v>225</v>
      </c>
      <c r="Y60" s="127" t="s">
        <v>314</v>
      </c>
    </row>
    <row r="61" spans="1:25" hidden="1" x14ac:dyDescent="0.25">
      <c r="A61" t="s">
        <v>108</v>
      </c>
      <c r="B61" t="s">
        <v>109</v>
      </c>
      <c r="C61" s="75">
        <v>2750</v>
      </c>
      <c r="D61" s="75">
        <v>0</v>
      </c>
      <c r="E61" s="75">
        <v>7127.04</v>
      </c>
      <c r="F61" s="75"/>
      <c r="G61" s="75"/>
      <c r="H61" s="75">
        <v>9877.0400000000009</v>
      </c>
      <c r="I61" s="75">
        <v>0</v>
      </c>
      <c r="J61" s="75">
        <v>0</v>
      </c>
      <c r="K61" s="75">
        <v>0</v>
      </c>
      <c r="L61" s="75">
        <v>0</v>
      </c>
      <c r="M61" s="75">
        <v>45.15</v>
      </c>
      <c r="N61" s="75">
        <v>0</v>
      </c>
      <c r="O61" s="75">
        <v>997.72600000000023</v>
      </c>
      <c r="P61" s="75">
        <v>1042.8760000000002</v>
      </c>
      <c r="Q61" s="75">
        <v>8834.1640000000007</v>
      </c>
      <c r="R61" s="75">
        <v>9831.8900000000012</v>
      </c>
      <c r="S61" s="75">
        <v>0</v>
      </c>
      <c r="T61" s="75">
        <v>21.911999999999999</v>
      </c>
      <c r="U61" s="75">
        <v>9853.8020000000015</v>
      </c>
      <c r="V61" s="75">
        <v>1576.6083200000003</v>
      </c>
      <c r="W61" s="75">
        <v>11430.410320000003</v>
      </c>
      <c r="X61" t="s">
        <v>233</v>
      </c>
      <c r="Y61" s="127" t="s">
        <v>311</v>
      </c>
    </row>
    <row r="62" spans="1:25" hidden="1" x14ac:dyDescent="0.25">
      <c r="A62" t="s">
        <v>110</v>
      </c>
      <c r="B62" t="s">
        <v>111</v>
      </c>
      <c r="C62" s="75">
        <v>1200</v>
      </c>
      <c r="D62" s="75">
        <v>0</v>
      </c>
      <c r="E62" s="75">
        <v>5200</v>
      </c>
      <c r="F62" s="75"/>
      <c r="G62" s="75"/>
      <c r="H62" s="75">
        <v>6400</v>
      </c>
      <c r="I62" s="75">
        <v>0</v>
      </c>
      <c r="J62" s="75">
        <v>0</v>
      </c>
      <c r="K62" s="75">
        <v>0</v>
      </c>
      <c r="L62" s="75">
        <v>0</v>
      </c>
      <c r="M62" s="75">
        <v>45.15</v>
      </c>
      <c r="N62" s="75">
        <v>0</v>
      </c>
      <c r="O62" s="75">
        <v>635.48500000000013</v>
      </c>
      <c r="P62" s="75">
        <v>680.6350000000001</v>
      </c>
      <c r="Q62" s="75">
        <v>5719.3649999999998</v>
      </c>
      <c r="R62" s="75">
        <v>6354.85</v>
      </c>
      <c r="S62" s="75">
        <v>0</v>
      </c>
      <c r="T62" s="75">
        <v>21.911999999999999</v>
      </c>
      <c r="U62" s="75">
        <v>6376.7620000000006</v>
      </c>
      <c r="V62" s="75">
        <v>1020.2819200000001</v>
      </c>
      <c r="W62" s="75">
        <v>7397.043920000001</v>
      </c>
      <c r="X62" t="s">
        <v>190</v>
      </c>
      <c r="Y62" s="127" t="s">
        <v>314</v>
      </c>
    </row>
    <row r="63" spans="1:25" hidden="1" x14ac:dyDescent="0.25">
      <c r="A63" t="s">
        <v>112</v>
      </c>
      <c r="B63" t="s">
        <v>113</v>
      </c>
      <c r="C63" s="75">
        <v>1200</v>
      </c>
      <c r="D63" s="75">
        <v>145.37389713135775</v>
      </c>
      <c r="E63" s="75">
        <v>1800</v>
      </c>
      <c r="F63" s="75"/>
      <c r="G63" s="75"/>
      <c r="H63" s="75">
        <v>3145.3738971313578</v>
      </c>
      <c r="I63" s="75">
        <v>0</v>
      </c>
      <c r="J63" s="75">
        <v>0</v>
      </c>
      <c r="K63" s="75">
        <v>0</v>
      </c>
      <c r="L63" s="75">
        <v>0</v>
      </c>
      <c r="M63" s="75">
        <v>45.15</v>
      </c>
      <c r="N63" s="75">
        <v>0</v>
      </c>
      <c r="O63" s="75">
        <v>0</v>
      </c>
      <c r="P63" s="75">
        <v>45.15</v>
      </c>
      <c r="Q63" s="75">
        <v>3100.2238971313577</v>
      </c>
      <c r="R63" s="75">
        <v>3100.2238971313577</v>
      </c>
      <c r="S63" s="75">
        <v>315.55799999999999</v>
      </c>
      <c r="T63" s="75">
        <v>21.911999999999999</v>
      </c>
      <c r="U63" s="75">
        <v>3437.6938971313575</v>
      </c>
      <c r="V63" s="75">
        <v>550.03102354101725</v>
      </c>
      <c r="W63" s="75">
        <v>3987.7249206723745</v>
      </c>
      <c r="X63" t="s">
        <v>190</v>
      </c>
      <c r="Y63" s="127" t="s">
        <v>314</v>
      </c>
    </row>
    <row r="64" spans="1:25" x14ac:dyDescent="0.25">
      <c r="A64" t="s">
        <v>114</v>
      </c>
      <c r="B64" t="s">
        <v>115</v>
      </c>
      <c r="C64" s="75">
        <v>2250</v>
      </c>
      <c r="D64" s="75">
        <v>0</v>
      </c>
      <c r="E64" s="75">
        <v>10108.09</v>
      </c>
      <c r="F64" s="75"/>
      <c r="G64" s="75"/>
      <c r="H64" s="75">
        <v>12358.09</v>
      </c>
      <c r="I64" s="75">
        <v>0</v>
      </c>
      <c r="J64" s="75">
        <v>0</v>
      </c>
      <c r="K64" s="75">
        <v>0</v>
      </c>
      <c r="L64" s="75">
        <v>0</v>
      </c>
      <c r="M64" s="75">
        <v>45.15</v>
      </c>
      <c r="N64" s="75">
        <v>335.19</v>
      </c>
      <c r="O64" s="75">
        <v>1248.7720000000002</v>
      </c>
      <c r="P64" s="75">
        <v>1629.1120000000001</v>
      </c>
      <c r="Q64" s="75">
        <v>10728.977999999999</v>
      </c>
      <c r="R64" s="75">
        <v>12312.94</v>
      </c>
      <c r="S64" s="75">
        <v>0</v>
      </c>
      <c r="T64" s="75">
        <v>21.911999999999999</v>
      </c>
      <c r="U64" s="75">
        <v>12334.852000000001</v>
      </c>
      <c r="V64" s="75">
        <v>1973.5763200000001</v>
      </c>
      <c r="W64" s="75">
        <v>14308.428320000001</v>
      </c>
      <c r="X64" t="s">
        <v>233</v>
      </c>
      <c r="Y64" s="127" t="s">
        <v>317</v>
      </c>
    </row>
    <row r="65" spans="1:25" hidden="1" x14ac:dyDescent="0.25">
      <c r="A65" t="s">
        <v>116</v>
      </c>
      <c r="B65" t="s">
        <v>117</v>
      </c>
      <c r="C65" s="75">
        <v>1200</v>
      </c>
      <c r="D65" s="75"/>
      <c r="E65" s="75">
        <v>1266.2</v>
      </c>
      <c r="F65" s="75"/>
      <c r="G65" s="75"/>
      <c r="H65" s="75">
        <v>2466.1999999999998</v>
      </c>
      <c r="I65" s="75">
        <v>0</v>
      </c>
      <c r="J65" s="75">
        <v>0</v>
      </c>
      <c r="K65" s="75">
        <v>0</v>
      </c>
      <c r="L65" s="75">
        <v>0</v>
      </c>
      <c r="M65" s="75">
        <v>45.15</v>
      </c>
      <c r="N65" s="75">
        <v>303.79000000000002</v>
      </c>
      <c r="O65" s="75">
        <v>0</v>
      </c>
      <c r="P65" s="75">
        <v>348.94</v>
      </c>
      <c r="Q65" s="75">
        <v>2117.2599999999998</v>
      </c>
      <c r="R65" s="75">
        <v>2421.0499999999997</v>
      </c>
      <c r="S65" s="75">
        <v>259.58300000000003</v>
      </c>
      <c r="T65" s="75">
        <v>21.911999999999999</v>
      </c>
      <c r="U65" s="75">
        <v>2702.5449999999996</v>
      </c>
      <c r="V65" s="75">
        <v>432.40719999999993</v>
      </c>
      <c r="W65" s="75">
        <v>3134.9521999999997</v>
      </c>
      <c r="X65" t="s">
        <v>192</v>
      </c>
      <c r="Y65" s="127" t="s">
        <v>314</v>
      </c>
    </row>
    <row r="66" spans="1:25" hidden="1" x14ac:dyDescent="0.25">
      <c r="A66" t="s">
        <v>119</v>
      </c>
      <c r="B66" t="s">
        <v>120</v>
      </c>
      <c r="C66" s="75">
        <v>165200</v>
      </c>
      <c r="D66" s="75">
        <v>1891.5109339857158</v>
      </c>
      <c r="E66" s="75">
        <v>432293.62000000005</v>
      </c>
      <c r="F66" s="75">
        <v>0</v>
      </c>
      <c r="G66" s="75">
        <v>0</v>
      </c>
      <c r="H66" s="75">
        <v>599385.1309339857</v>
      </c>
      <c r="I66" s="75">
        <v>366.66</v>
      </c>
      <c r="J66" s="75">
        <v>479.28</v>
      </c>
      <c r="K66" s="75">
        <v>117.81</v>
      </c>
      <c r="L66" s="75">
        <v>0</v>
      </c>
      <c r="M66" s="75">
        <v>2528.4000000000024</v>
      </c>
      <c r="N66" s="75">
        <v>9726.09</v>
      </c>
      <c r="O66" s="75">
        <v>52628.071000000004</v>
      </c>
      <c r="P66" s="75">
        <v>65846.311000000016</v>
      </c>
      <c r="Q66" s="75">
        <v>533538.81993398571</v>
      </c>
      <c r="R66" s="75">
        <v>596856.73093398556</v>
      </c>
      <c r="S66" s="75">
        <v>7645.0020000000004</v>
      </c>
      <c r="T66" s="75">
        <v>1202.2384000000009</v>
      </c>
      <c r="U66" s="75">
        <v>605703.97133398557</v>
      </c>
      <c r="V66" s="75">
        <v>96912.635413437689</v>
      </c>
      <c r="W66" s="75">
        <v>702616.60674742307</v>
      </c>
    </row>
  </sheetData>
  <autoFilter ref="A9:Y66">
    <filterColumn colId="24">
      <filters>
        <filter val="702-070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C2" sqref="C2"/>
    </sheetView>
  </sheetViews>
  <sheetFormatPr baseColWidth="10" defaultRowHeight="15" x14ac:dyDescent="0.25"/>
  <cols>
    <col min="1" max="1" width="16.42578125" customWidth="1"/>
  </cols>
  <sheetData>
    <row r="1" spans="1:7" x14ac:dyDescent="0.25">
      <c r="A1" s="200" t="s">
        <v>319</v>
      </c>
      <c r="B1" s="200"/>
      <c r="C1" s="201"/>
      <c r="D1" s="202"/>
      <c r="E1" s="202"/>
      <c r="F1" s="203"/>
      <c r="G1" s="203"/>
    </row>
    <row r="2" spans="1:7" x14ac:dyDescent="0.25">
      <c r="A2" s="200" t="s">
        <v>320</v>
      </c>
      <c r="B2" s="200"/>
      <c r="C2" s="201"/>
      <c r="D2" s="202"/>
      <c r="E2" s="202"/>
      <c r="F2" s="203"/>
      <c r="G2" s="203"/>
    </row>
    <row r="3" spans="1:7" x14ac:dyDescent="0.25">
      <c r="A3" s="200" t="s">
        <v>321</v>
      </c>
      <c r="B3" s="204" t="s">
        <v>326</v>
      </c>
      <c r="C3" s="201"/>
      <c r="D3" s="202"/>
      <c r="E3" s="202"/>
      <c r="F3" s="203"/>
      <c r="G3" s="203"/>
    </row>
    <row r="4" spans="1:7" x14ac:dyDescent="0.25">
      <c r="A4" s="201"/>
      <c r="B4" s="201"/>
      <c r="C4" s="201"/>
      <c r="D4" s="202"/>
      <c r="E4" s="202"/>
      <c r="F4" s="203"/>
      <c r="G4" s="203"/>
    </row>
    <row r="5" spans="1:7" x14ac:dyDescent="0.25">
      <c r="A5" s="201" t="s">
        <v>322</v>
      </c>
      <c r="B5" s="201" t="s">
        <v>323</v>
      </c>
      <c r="C5" s="201"/>
      <c r="D5" s="202"/>
      <c r="E5" s="202"/>
      <c r="F5" s="203"/>
      <c r="G5" s="203"/>
    </row>
    <row r="6" spans="1:7" x14ac:dyDescent="0.25">
      <c r="A6" s="202" t="s">
        <v>313</v>
      </c>
      <c r="B6" s="205">
        <f>49312.35+215940.93</f>
        <v>265253.27999999997</v>
      </c>
      <c r="C6" s="202"/>
      <c r="D6" s="202"/>
      <c r="E6" s="202"/>
      <c r="F6" s="203"/>
      <c r="G6" s="203"/>
    </row>
    <row r="7" spans="1:7" x14ac:dyDescent="0.25">
      <c r="A7" s="202" t="s">
        <v>324</v>
      </c>
      <c r="B7" s="205"/>
      <c r="C7" s="202"/>
      <c r="D7" s="202"/>
      <c r="E7" s="202"/>
      <c r="F7" s="203"/>
      <c r="G7" s="203"/>
    </row>
    <row r="8" spans="1:7" x14ac:dyDescent="0.25">
      <c r="A8" s="202" t="s">
        <v>317</v>
      </c>
      <c r="B8" s="205">
        <v>41257.26</v>
      </c>
      <c r="C8" s="202"/>
      <c r="D8" s="202"/>
      <c r="E8" s="202"/>
      <c r="F8" s="203"/>
      <c r="G8" s="203"/>
    </row>
    <row r="9" spans="1:7" x14ac:dyDescent="0.25">
      <c r="A9" s="202" t="s">
        <v>312</v>
      </c>
      <c r="B9" s="205">
        <v>118432.71</v>
      </c>
      <c r="C9" s="202"/>
      <c r="D9" s="202"/>
      <c r="E9" s="202"/>
      <c r="F9" s="203"/>
      <c r="G9" s="203"/>
    </row>
    <row r="10" spans="1:7" x14ac:dyDescent="0.25">
      <c r="A10" s="202" t="s">
        <v>315</v>
      </c>
      <c r="B10" s="205">
        <v>30491.93</v>
      </c>
      <c r="C10" s="202"/>
      <c r="D10" s="202"/>
      <c r="E10" s="202"/>
      <c r="F10" s="203"/>
      <c r="G10" s="203"/>
    </row>
    <row r="11" spans="1:7" x14ac:dyDescent="0.25">
      <c r="A11" s="202" t="s">
        <v>325</v>
      </c>
      <c r="B11" s="205">
        <f>33861.82+23851.96</f>
        <v>57713.78</v>
      </c>
      <c r="C11" s="202"/>
      <c r="D11" s="202"/>
      <c r="E11" s="202"/>
      <c r="F11" s="203"/>
      <c r="G11" s="203"/>
    </row>
    <row r="12" spans="1:7" x14ac:dyDescent="0.25">
      <c r="A12" s="202" t="s">
        <v>327</v>
      </c>
      <c r="B12" s="210">
        <f>46957.05</f>
        <v>46957.05</v>
      </c>
      <c r="C12" s="202"/>
      <c r="D12" s="202"/>
      <c r="E12" s="202"/>
      <c r="F12" s="203"/>
      <c r="G12" s="203"/>
    </row>
    <row r="13" spans="1:7" ht="15.75" thickBot="1" x14ac:dyDescent="0.3">
      <c r="A13" s="202" t="s">
        <v>314</v>
      </c>
      <c r="B13" s="206">
        <v>45597.96</v>
      </c>
      <c r="C13" s="202"/>
      <c r="D13" s="211"/>
      <c r="E13" s="202"/>
      <c r="F13" s="203"/>
      <c r="G13" s="203"/>
    </row>
    <row r="14" spans="1:7" x14ac:dyDescent="0.25">
      <c r="A14" s="202"/>
      <c r="B14" s="207">
        <f>SUM(B6:B13)</f>
        <v>605703.97</v>
      </c>
      <c r="C14" s="202"/>
      <c r="D14" s="202"/>
      <c r="E14" s="202"/>
      <c r="F14" s="203"/>
      <c r="G14" s="203"/>
    </row>
    <row r="15" spans="1:7" ht="15.75" thickBot="1" x14ac:dyDescent="0.3">
      <c r="A15" s="202"/>
      <c r="B15" s="208">
        <f>B14*0.16</f>
        <v>96912.635200000004</v>
      </c>
      <c r="C15" s="202"/>
      <c r="D15" s="202"/>
      <c r="E15" s="202"/>
      <c r="F15" s="203"/>
      <c r="G15" s="203"/>
    </row>
    <row r="16" spans="1:7" ht="15.75" thickTop="1" x14ac:dyDescent="0.25">
      <c r="A16" s="202"/>
      <c r="B16" s="209">
        <f>+B14+B15</f>
        <v>702616.60519999999</v>
      </c>
      <c r="C16" s="202"/>
      <c r="D16" s="202"/>
      <c r="E16" s="202"/>
      <c r="F16" s="203"/>
      <c r="G16" s="203"/>
    </row>
    <row r="17" spans="1:7" x14ac:dyDescent="0.25">
      <c r="A17" s="202"/>
      <c r="B17" s="205"/>
      <c r="C17" s="202"/>
      <c r="D17" s="202"/>
      <c r="E17" s="202"/>
      <c r="F17" s="203"/>
      <c r="G17" s="203"/>
    </row>
    <row r="18" spans="1:7" x14ac:dyDescent="0.25">
      <c r="A18" s="202"/>
      <c r="B18" s="205"/>
      <c r="C18" s="202"/>
      <c r="D18" s="202"/>
      <c r="E18" s="202"/>
      <c r="F18" s="203"/>
      <c r="G18" s="203"/>
    </row>
    <row r="19" spans="1:7" x14ac:dyDescent="0.25">
      <c r="A19" s="202"/>
      <c r="B19" s="205"/>
      <c r="C19" s="202"/>
      <c r="D19" s="202"/>
      <c r="E19" s="202"/>
      <c r="F19" s="203"/>
      <c r="G19" s="203"/>
    </row>
    <row r="20" spans="1:7" x14ac:dyDescent="0.25">
      <c r="A20" s="202"/>
      <c r="B20" s="202"/>
      <c r="C20" s="202"/>
      <c r="D20" s="202"/>
      <c r="E20" s="202"/>
      <c r="F20" s="203"/>
      <c r="G20" s="203"/>
    </row>
    <row r="21" spans="1:7" x14ac:dyDescent="0.25">
      <c r="A21" s="202"/>
      <c r="B21" s="202"/>
      <c r="C21" s="202"/>
      <c r="D21" s="202"/>
      <c r="E21" s="202"/>
      <c r="F21" s="203"/>
      <c r="G21" s="203"/>
    </row>
    <row r="22" spans="1:7" x14ac:dyDescent="0.25">
      <c r="A22" s="202"/>
      <c r="B22" s="202"/>
      <c r="C22" s="202"/>
      <c r="D22" s="202"/>
      <c r="E22" s="202"/>
      <c r="F22" s="203"/>
      <c r="G22" s="2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Hoja1</vt:lpstr>
      <vt:lpstr>FACTURACIÓN</vt:lpstr>
      <vt:lpstr>C&amp;A</vt:lpstr>
      <vt:lpstr>SINDICATO</vt:lpstr>
      <vt:lpstr>Hoja2</vt:lpstr>
      <vt:lpstr>Hoja3</vt:lpstr>
      <vt:lpstr>RESUMEN</vt:lpstr>
      <vt:lpstr>FACTURACIÓN!Área_de_impresión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2016-02-25T16:03:53Z</cp:lastPrinted>
  <dcterms:created xsi:type="dcterms:W3CDTF">2016-01-16T18:25:25Z</dcterms:created>
  <dcterms:modified xsi:type="dcterms:W3CDTF">2016-04-11T19:36:38Z</dcterms:modified>
</cp:coreProperties>
</file>