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7/SEMINUEVOS/"/>
    </mc:Choice>
  </mc:AlternateContent>
  <bookViews>
    <workbookView xWindow="0" yWindow="0" windowWidth="20490" windowHeight="7365" tabRatio="445"/>
  </bookViews>
  <sheets>
    <sheet name="REPORTE 2017" sheetId="4" r:id="rId1"/>
    <sheet name="INDICES" sheetId="2" r:id="rId2"/>
  </sheets>
  <externalReferences>
    <externalReference r:id="rId3"/>
  </externalReferences>
  <definedNames>
    <definedName name="_xlnm.Print_Area" localSheetId="0">'REPORTE 2017'!$A$1:$S$206</definedName>
  </definedNames>
  <calcPr calcId="152511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I206" i="4"/>
  <c r="F206" i="4"/>
  <c r="F7" i="4"/>
  <c r="I7" i="4"/>
  <c r="F8" i="4"/>
  <c r="I8" i="4"/>
  <c r="F9" i="4"/>
  <c r="H9" i="4" s="1"/>
  <c r="I9" i="4"/>
  <c r="M9" i="4"/>
  <c r="M135" i="4" s="1"/>
  <c r="F10" i="4"/>
  <c r="I10" i="4"/>
  <c r="F11" i="4"/>
  <c r="I11" i="4"/>
  <c r="F12" i="4"/>
  <c r="I12" i="4"/>
  <c r="F13" i="4"/>
  <c r="I13" i="4"/>
  <c r="M13" i="4"/>
  <c r="F14" i="4"/>
  <c r="I14" i="4"/>
  <c r="F15" i="4"/>
  <c r="H15" i="4" s="1"/>
  <c r="I15" i="4"/>
  <c r="F16" i="4"/>
  <c r="I16" i="4"/>
  <c r="F17" i="4"/>
  <c r="I17" i="4"/>
  <c r="M17" i="4"/>
  <c r="F18" i="4"/>
  <c r="I18" i="4"/>
  <c r="F19" i="4"/>
  <c r="I19" i="4"/>
  <c r="F20" i="4"/>
  <c r="I20" i="4"/>
  <c r="F21" i="4"/>
  <c r="I21" i="4"/>
  <c r="F22" i="4"/>
  <c r="I22" i="4"/>
  <c r="F23" i="4"/>
  <c r="I23" i="4"/>
  <c r="F24" i="4"/>
  <c r="I24" i="4"/>
  <c r="F25" i="4"/>
  <c r="I25" i="4"/>
  <c r="M25" i="4"/>
  <c r="F26" i="4"/>
  <c r="I26" i="4"/>
  <c r="F27" i="4"/>
  <c r="I27" i="4"/>
  <c r="F28" i="4"/>
  <c r="I28" i="4"/>
  <c r="F29" i="4"/>
  <c r="I29" i="4"/>
  <c r="F30" i="4"/>
  <c r="I30" i="4"/>
  <c r="F31" i="4"/>
  <c r="I31" i="4"/>
  <c r="F32" i="4"/>
  <c r="I32" i="4"/>
  <c r="M32" i="4"/>
  <c r="F33" i="4"/>
  <c r="I33" i="4"/>
  <c r="F34" i="4"/>
  <c r="I34" i="4"/>
  <c r="F35" i="4"/>
  <c r="I35" i="4"/>
  <c r="F36" i="4"/>
  <c r="I36" i="4"/>
  <c r="M36" i="4"/>
  <c r="F37" i="4"/>
  <c r="I37" i="4"/>
  <c r="F38" i="4"/>
  <c r="I38" i="4"/>
  <c r="F39" i="4"/>
  <c r="I39" i="4"/>
  <c r="F40" i="4"/>
  <c r="I40" i="4"/>
  <c r="F41" i="4"/>
  <c r="I41" i="4"/>
  <c r="F42" i="4"/>
  <c r="I42" i="4"/>
  <c r="F43" i="4"/>
  <c r="I43" i="4"/>
  <c r="M43" i="4"/>
  <c r="F44" i="4"/>
  <c r="I44" i="4"/>
  <c r="F45" i="4"/>
  <c r="I45" i="4"/>
  <c r="F46" i="4"/>
  <c r="I46" i="4"/>
  <c r="F47" i="4"/>
  <c r="I47" i="4"/>
  <c r="M47" i="4"/>
  <c r="F48" i="4"/>
  <c r="I48" i="4"/>
  <c r="F49" i="4"/>
  <c r="I49" i="4"/>
  <c r="F50" i="4"/>
  <c r="I50" i="4"/>
  <c r="F51" i="4"/>
  <c r="I51" i="4"/>
  <c r="F52" i="4"/>
  <c r="I52" i="4"/>
  <c r="F53" i="4"/>
  <c r="H53" i="4" s="1"/>
  <c r="I53" i="4"/>
  <c r="F54" i="4"/>
  <c r="I54" i="4"/>
  <c r="M54" i="4"/>
  <c r="F55" i="4"/>
  <c r="I55" i="4"/>
  <c r="F56" i="4"/>
  <c r="I56" i="4"/>
  <c r="F57" i="4"/>
  <c r="I57" i="4"/>
  <c r="F58" i="4"/>
  <c r="I58" i="4"/>
  <c r="F59" i="4"/>
  <c r="I59" i="4"/>
  <c r="F60" i="4"/>
  <c r="I60" i="4"/>
  <c r="F61" i="4"/>
  <c r="I61" i="4"/>
  <c r="F62" i="4"/>
  <c r="I62" i="4"/>
  <c r="M62" i="4"/>
  <c r="F63" i="4"/>
  <c r="I63" i="4"/>
  <c r="F64" i="4"/>
  <c r="I64" i="4"/>
  <c r="F65" i="4"/>
  <c r="I65" i="4"/>
  <c r="F66" i="4"/>
  <c r="I66" i="4"/>
  <c r="M66" i="4"/>
  <c r="F67" i="4"/>
  <c r="I67" i="4"/>
  <c r="F68" i="4"/>
  <c r="I68" i="4"/>
  <c r="F69" i="4"/>
  <c r="I69" i="4"/>
  <c r="F70" i="4"/>
  <c r="I70" i="4"/>
  <c r="M70" i="4"/>
  <c r="F71" i="4"/>
  <c r="I71" i="4"/>
  <c r="F72" i="4"/>
  <c r="I72" i="4"/>
  <c r="F73" i="4"/>
  <c r="I73" i="4"/>
  <c r="F74" i="4"/>
  <c r="L74" i="4"/>
  <c r="F75" i="4"/>
  <c r="I75" i="4"/>
  <c r="F76" i="4"/>
  <c r="I76" i="4"/>
  <c r="F77" i="4"/>
  <c r="I77" i="4"/>
  <c r="F78" i="4"/>
  <c r="I78" i="4"/>
  <c r="M78" i="4"/>
  <c r="F79" i="4"/>
  <c r="I79" i="4"/>
  <c r="F80" i="4"/>
  <c r="I80" i="4"/>
  <c r="F81" i="4"/>
  <c r="I81" i="4"/>
  <c r="F82" i="4"/>
  <c r="I82" i="4"/>
  <c r="M82" i="4"/>
  <c r="F83" i="4"/>
  <c r="H83" i="4" s="1"/>
  <c r="I83" i="4"/>
  <c r="M83" i="4"/>
  <c r="F84" i="4"/>
  <c r="I84" i="4"/>
  <c r="F85" i="4"/>
  <c r="I85" i="4"/>
  <c r="F86" i="4"/>
  <c r="I86" i="4"/>
  <c r="F87" i="4"/>
  <c r="I87" i="4"/>
  <c r="M87" i="4"/>
  <c r="F88" i="4"/>
  <c r="I88" i="4"/>
  <c r="F89" i="4"/>
  <c r="I89" i="4"/>
  <c r="F90" i="4"/>
  <c r="I90" i="4"/>
  <c r="F91" i="4"/>
  <c r="I91" i="4"/>
  <c r="F92" i="4"/>
  <c r="I92" i="4"/>
  <c r="F93" i="4"/>
  <c r="I93" i="4"/>
  <c r="F94" i="4"/>
  <c r="I94" i="4"/>
  <c r="F95" i="4"/>
  <c r="I95" i="4"/>
  <c r="F96" i="4"/>
  <c r="I96" i="4"/>
  <c r="M96" i="4"/>
  <c r="F97" i="4"/>
  <c r="I97" i="4"/>
  <c r="F98" i="4"/>
  <c r="I98" i="4"/>
  <c r="F99" i="4"/>
  <c r="I99" i="4"/>
  <c r="F100" i="4"/>
  <c r="I100" i="4"/>
  <c r="F101" i="4"/>
  <c r="I101" i="4"/>
  <c r="M101" i="4"/>
  <c r="F102" i="4"/>
  <c r="I102" i="4"/>
  <c r="F103" i="4"/>
  <c r="H103" i="4" s="1"/>
  <c r="I103" i="4"/>
  <c r="F104" i="4"/>
  <c r="I104" i="4"/>
  <c r="M104" i="4"/>
  <c r="F105" i="4"/>
  <c r="I105" i="4"/>
  <c r="F106" i="4"/>
  <c r="I106" i="4"/>
  <c r="F107" i="4"/>
  <c r="I107" i="4"/>
  <c r="F108" i="4"/>
  <c r="I108" i="4"/>
  <c r="M108" i="4"/>
  <c r="F109" i="4"/>
  <c r="I109" i="4"/>
  <c r="F110" i="4"/>
  <c r="I110" i="4"/>
  <c r="F111" i="4"/>
  <c r="I111" i="4"/>
  <c r="F112" i="4"/>
  <c r="I112" i="4"/>
  <c r="F113" i="4"/>
  <c r="I113" i="4"/>
  <c r="M113" i="4"/>
  <c r="F114" i="4"/>
  <c r="I114" i="4"/>
  <c r="F115" i="4"/>
  <c r="I115" i="4"/>
  <c r="F116" i="4"/>
  <c r="H116" i="4" s="1"/>
  <c r="I116" i="4"/>
  <c r="F117" i="4"/>
  <c r="I117" i="4"/>
  <c r="F118" i="4"/>
  <c r="I118" i="4"/>
  <c r="F119" i="4"/>
  <c r="I119" i="4"/>
  <c r="M119" i="4"/>
  <c r="F120" i="4"/>
  <c r="I120" i="4"/>
  <c r="F121" i="4"/>
  <c r="I121" i="4"/>
  <c r="F122" i="4"/>
  <c r="I122" i="4"/>
  <c r="F123" i="4"/>
  <c r="H123" i="4" s="1"/>
  <c r="I123" i="4"/>
  <c r="F124" i="4"/>
  <c r="I124" i="4"/>
  <c r="M124" i="4"/>
  <c r="F125" i="4"/>
  <c r="I125" i="4"/>
  <c r="F126" i="4"/>
  <c r="I126" i="4"/>
  <c r="F127" i="4"/>
  <c r="I127" i="4"/>
  <c r="M127" i="4"/>
  <c r="F128" i="4"/>
  <c r="I128" i="4"/>
  <c r="F129" i="4"/>
  <c r="I129" i="4"/>
  <c r="M129" i="4"/>
  <c r="F130" i="4"/>
  <c r="I130" i="4"/>
  <c r="F131" i="4"/>
  <c r="I131" i="4"/>
  <c r="F132" i="4"/>
  <c r="I132" i="4"/>
  <c r="M132" i="4"/>
  <c r="F133" i="4"/>
  <c r="I133" i="4"/>
  <c r="F134" i="4"/>
  <c r="I134" i="4"/>
  <c r="F135" i="4"/>
  <c r="I135" i="4"/>
  <c r="F136" i="4"/>
  <c r="I136" i="4"/>
  <c r="F137" i="4"/>
  <c r="I137" i="4"/>
  <c r="M137" i="4"/>
  <c r="F138" i="4"/>
  <c r="I138" i="4"/>
  <c r="F139" i="4"/>
  <c r="I139" i="4"/>
  <c r="M139" i="4"/>
  <c r="F140" i="4"/>
  <c r="I140" i="4"/>
  <c r="F141" i="4"/>
  <c r="I141" i="4"/>
  <c r="F142" i="4"/>
  <c r="I142" i="4"/>
  <c r="M142" i="4"/>
  <c r="F143" i="4"/>
  <c r="I143" i="4"/>
  <c r="F144" i="4"/>
  <c r="I144" i="4"/>
  <c r="F145" i="4"/>
  <c r="I145" i="4"/>
  <c r="F146" i="4"/>
  <c r="I146" i="4"/>
  <c r="F147" i="4"/>
  <c r="I147" i="4"/>
  <c r="M147" i="4"/>
  <c r="F148" i="4"/>
  <c r="I148" i="4"/>
  <c r="F149" i="4"/>
  <c r="I149" i="4"/>
  <c r="F150" i="4"/>
  <c r="I150" i="4"/>
  <c r="F151" i="4"/>
  <c r="I151" i="4"/>
  <c r="F152" i="4"/>
  <c r="I152" i="4"/>
  <c r="M152" i="4"/>
  <c r="F153" i="4"/>
  <c r="I153" i="4"/>
  <c r="F154" i="4"/>
  <c r="I154" i="4"/>
  <c r="F155" i="4"/>
  <c r="I155" i="4"/>
  <c r="F156" i="4"/>
  <c r="I156" i="4"/>
  <c r="M156" i="4"/>
  <c r="F157" i="4"/>
  <c r="I157" i="4"/>
  <c r="F158" i="4"/>
  <c r="I158" i="4"/>
  <c r="F159" i="4"/>
  <c r="I159" i="4"/>
  <c r="F160" i="4"/>
  <c r="I160" i="4"/>
  <c r="F161" i="4"/>
  <c r="I161" i="4"/>
  <c r="F162" i="4"/>
  <c r="I162" i="4"/>
  <c r="M162" i="4"/>
  <c r="F163" i="4"/>
  <c r="I163" i="4"/>
  <c r="F164" i="4"/>
  <c r="I164" i="4"/>
  <c r="F165" i="4"/>
  <c r="I165" i="4"/>
  <c r="F166" i="4"/>
  <c r="I166" i="4"/>
  <c r="F167" i="4"/>
  <c r="I167" i="4"/>
  <c r="F168" i="4"/>
  <c r="I168" i="4"/>
  <c r="M168" i="4"/>
  <c r="F169" i="4"/>
  <c r="I169" i="4"/>
  <c r="F170" i="4"/>
  <c r="I170" i="4"/>
  <c r="F171" i="4"/>
  <c r="I171" i="4"/>
  <c r="F172" i="4"/>
  <c r="I172" i="4"/>
  <c r="F173" i="4"/>
  <c r="I173" i="4"/>
  <c r="F174" i="4"/>
  <c r="I174" i="4"/>
  <c r="M174" i="4"/>
  <c r="F175" i="4"/>
  <c r="I175" i="4"/>
  <c r="F176" i="4"/>
  <c r="I176" i="4"/>
  <c r="M176" i="4"/>
  <c r="F177" i="4"/>
  <c r="I177" i="4"/>
  <c r="F178" i="4"/>
  <c r="I178" i="4"/>
  <c r="F179" i="4"/>
  <c r="I179" i="4"/>
  <c r="M179" i="4"/>
  <c r="F180" i="4"/>
  <c r="I180" i="4"/>
  <c r="F181" i="4"/>
  <c r="I181" i="4"/>
  <c r="F182" i="4"/>
  <c r="I182" i="4"/>
  <c r="F183" i="4"/>
  <c r="I183" i="4"/>
  <c r="F184" i="4"/>
  <c r="I184" i="4"/>
  <c r="M184" i="4"/>
  <c r="F185" i="4"/>
  <c r="I185" i="4"/>
  <c r="F186" i="4"/>
  <c r="I186" i="4"/>
  <c r="F187" i="4"/>
  <c r="H187" i="4" s="1"/>
  <c r="I187" i="4"/>
  <c r="F188" i="4"/>
  <c r="I188" i="4"/>
  <c r="M188" i="4"/>
  <c r="F189" i="4"/>
  <c r="I189" i="4"/>
  <c r="F190" i="4"/>
  <c r="I190" i="4"/>
  <c r="F191" i="4"/>
  <c r="I191" i="4"/>
  <c r="M191" i="4"/>
  <c r="F192" i="4"/>
  <c r="I192" i="4"/>
  <c r="F193" i="4"/>
  <c r="I193" i="4"/>
  <c r="M193" i="4"/>
  <c r="F194" i="4"/>
  <c r="I194" i="4"/>
  <c r="F195" i="4"/>
  <c r="I195" i="4"/>
  <c r="F196" i="4"/>
  <c r="I196" i="4"/>
  <c r="M196" i="4"/>
  <c r="F197" i="4"/>
  <c r="I197" i="4"/>
  <c r="F198" i="4"/>
  <c r="I198" i="4"/>
  <c r="F199" i="4"/>
  <c r="I199" i="4"/>
  <c r="F200" i="4"/>
  <c r="I200" i="4"/>
  <c r="M200" i="4"/>
  <c r="F201" i="4"/>
  <c r="I201" i="4"/>
  <c r="F202" i="4"/>
  <c r="I202" i="4"/>
  <c r="F203" i="4"/>
  <c r="I203" i="4"/>
  <c r="F204" i="4"/>
  <c r="I204" i="4"/>
  <c r="F205" i="4"/>
  <c r="I205" i="4"/>
  <c r="M205" i="4"/>
  <c r="L3" i="4"/>
  <c r="M10" i="4" s="1"/>
  <c r="M136" i="4" s="1"/>
  <c r="J188" i="2"/>
  <c r="B47" i="2"/>
  <c r="E346" i="2"/>
  <c r="O46" i="2"/>
  <c r="P46" i="2" s="1"/>
  <c r="B46" i="2"/>
  <c r="O45" i="2"/>
  <c r="P45" i="2"/>
  <c r="B45" i="2"/>
  <c r="O44" i="2"/>
  <c r="P44" i="2" s="1"/>
  <c r="B44" i="2"/>
  <c r="O43" i="2"/>
  <c r="P43" i="2" s="1"/>
  <c r="B43" i="2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B36" i="2"/>
  <c r="B35" i="2"/>
  <c r="B34" i="2"/>
  <c r="B33" i="2"/>
  <c r="B32" i="2"/>
  <c r="B31" i="2"/>
  <c r="B30" i="2"/>
  <c r="B29" i="2"/>
  <c r="B28" i="2"/>
  <c r="B27" i="2"/>
  <c r="B26" i="2"/>
  <c r="N24" i="2"/>
  <c r="B25" i="2"/>
  <c r="M24" i="2"/>
  <c r="N23" i="2"/>
  <c r="B24" i="2" s="1"/>
  <c r="M23" i="2"/>
  <c r="N22" i="2"/>
  <c r="B23" i="2" s="1"/>
  <c r="M22" i="2"/>
  <c r="N21" i="2"/>
  <c r="B22" i="2" s="1"/>
  <c r="M21" i="2"/>
  <c r="N20" i="2"/>
  <c r="B21" i="2"/>
  <c r="M20" i="2"/>
  <c r="N19" i="2"/>
  <c r="B20" i="2" s="1"/>
  <c r="M19" i="2"/>
  <c r="N18" i="2"/>
  <c r="B19" i="2" s="1"/>
  <c r="M18" i="2"/>
  <c r="N17" i="2"/>
  <c r="B18" i="2" s="1"/>
  <c r="M17" i="2"/>
  <c r="N16" i="2"/>
  <c r="B17" i="2"/>
  <c r="M16" i="2"/>
  <c r="N15" i="2"/>
  <c r="B16" i="2" s="1"/>
  <c r="M15" i="2"/>
  <c r="N14" i="2"/>
  <c r="B15" i="2"/>
  <c r="M14" i="2"/>
  <c r="N13" i="2"/>
  <c r="B14" i="2" s="1"/>
  <c r="M13" i="2"/>
  <c r="N12" i="2"/>
  <c r="B13" i="2" s="1"/>
  <c r="H152" i="4" l="1"/>
  <c r="J152" i="4" s="1"/>
  <c r="L152" i="4" s="1"/>
  <c r="N152" i="4" s="1"/>
  <c r="O152" i="4" s="1"/>
  <c r="H40" i="4"/>
  <c r="J40" i="4" s="1"/>
  <c r="L40" i="4" s="1"/>
  <c r="H111" i="4"/>
  <c r="J111" i="4" s="1"/>
  <c r="L111" i="4" s="1"/>
  <c r="H95" i="4"/>
  <c r="J95" i="4" s="1"/>
  <c r="L95" i="4" s="1"/>
  <c r="H7" i="4"/>
  <c r="J7" i="4" s="1"/>
  <c r="L7" i="4" s="1"/>
  <c r="H203" i="4"/>
  <c r="J203" i="4" s="1"/>
  <c r="L203" i="4" s="1"/>
  <c r="H175" i="4"/>
  <c r="J175" i="4" s="1"/>
  <c r="L175" i="4" s="1"/>
  <c r="H167" i="4"/>
  <c r="J167" i="4" s="1"/>
  <c r="L167" i="4" s="1"/>
  <c r="H147" i="4"/>
  <c r="J147" i="4" s="1"/>
  <c r="L147" i="4" s="1"/>
  <c r="N147" i="4" s="1"/>
  <c r="O147" i="4" s="1"/>
  <c r="H119" i="4"/>
  <c r="J119" i="4" s="1"/>
  <c r="L119" i="4" s="1"/>
  <c r="N119" i="4" s="1"/>
  <c r="O119" i="4" s="1"/>
  <c r="H115" i="4"/>
  <c r="H99" i="4"/>
  <c r="J99" i="4" s="1"/>
  <c r="L99" i="4" s="1"/>
  <c r="H59" i="4"/>
  <c r="J59" i="4" s="1"/>
  <c r="L59" i="4" s="1"/>
  <c r="H204" i="4"/>
  <c r="J204" i="4" s="1"/>
  <c r="L204" i="4" s="1"/>
  <c r="H156" i="4"/>
  <c r="J156" i="4" s="1"/>
  <c r="L156" i="4" s="1"/>
  <c r="N156" i="4" s="1"/>
  <c r="O156" i="4" s="1"/>
  <c r="H81" i="4"/>
  <c r="J81" i="4" s="1"/>
  <c r="L81" i="4" s="1"/>
  <c r="H197" i="4"/>
  <c r="J197" i="4" s="1"/>
  <c r="L197" i="4" s="1"/>
  <c r="H162" i="4"/>
  <c r="J162" i="4" s="1"/>
  <c r="L162" i="4" s="1"/>
  <c r="N162" i="4" s="1"/>
  <c r="O162" i="4" s="1"/>
  <c r="H28" i="4"/>
  <c r="J28" i="4" s="1"/>
  <c r="L28" i="4" s="1"/>
  <c r="N28" i="4" s="1"/>
  <c r="O28" i="4" s="1"/>
  <c r="J53" i="4"/>
  <c r="L53" i="4" s="1"/>
  <c r="H37" i="4"/>
  <c r="J37" i="4" s="1"/>
  <c r="L37" i="4" s="1"/>
  <c r="H173" i="4"/>
  <c r="J173" i="4" s="1"/>
  <c r="L173" i="4" s="1"/>
  <c r="H17" i="4"/>
  <c r="J17" i="4" s="1"/>
  <c r="L17" i="4" s="1"/>
  <c r="N17" i="4" s="1"/>
  <c r="O17" i="4" s="1"/>
  <c r="M202" i="4"/>
  <c r="M197" i="4"/>
  <c r="M182" i="4"/>
  <c r="M170" i="4"/>
  <c r="M165" i="4"/>
  <c r="M160" i="4"/>
  <c r="M155" i="4"/>
  <c r="M150" i="4"/>
  <c r="M145" i="4"/>
  <c r="M121" i="4"/>
  <c r="M116" i="4"/>
  <c r="M91" i="4"/>
  <c r="H82" i="4"/>
  <c r="J82" i="4" s="1"/>
  <c r="L82" i="4" s="1"/>
  <c r="N82" i="4" s="1"/>
  <c r="O82" i="4" s="1"/>
  <c r="M74" i="4"/>
  <c r="H57" i="4"/>
  <c r="J57" i="4" s="1"/>
  <c r="L57" i="4" s="1"/>
  <c r="N57" i="4" s="1"/>
  <c r="O57" i="4" s="1"/>
  <c r="M51" i="4"/>
  <c r="N51" i="4" s="1"/>
  <c r="M28" i="4"/>
  <c r="M21" i="4"/>
  <c r="M201" i="4"/>
  <c r="M198" i="4"/>
  <c r="M187" i="4"/>
  <c r="M186" i="4"/>
  <c r="M183" i="4"/>
  <c r="M180" i="4"/>
  <c r="M173" i="4"/>
  <c r="M172" i="4"/>
  <c r="M169" i="4"/>
  <c r="M166" i="4"/>
  <c r="M154" i="4"/>
  <c r="M151" i="4"/>
  <c r="M148" i="4"/>
  <c r="M141" i="4"/>
  <c r="M138" i="4"/>
  <c r="M123" i="4"/>
  <c r="M120" i="4"/>
  <c r="M111" i="4"/>
  <c r="M110" i="4"/>
  <c r="M99" i="4"/>
  <c r="M98" i="4"/>
  <c r="M93" i="4"/>
  <c r="M85" i="4"/>
  <c r="M76" i="4"/>
  <c r="M68" i="4"/>
  <c r="M60" i="4"/>
  <c r="M57" i="4"/>
  <c r="M56" i="4"/>
  <c r="M45" i="4"/>
  <c r="M34" i="4"/>
  <c r="H30" i="4"/>
  <c r="J30" i="4" s="1"/>
  <c r="L30" i="4" s="1"/>
  <c r="M23" i="4"/>
  <c r="M15" i="4"/>
  <c r="M7" i="4"/>
  <c r="M133" i="4" s="1"/>
  <c r="H201" i="4"/>
  <c r="J201" i="4" s="1"/>
  <c r="L201" i="4" s="1"/>
  <c r="H181" i="4"/>
  <c r="J181" i="4" s="1"/>
  <c r="L181" i="4" s="1"/>
  <c r="H169" i="4"/>
  <c r="J169" i="4" s="1"/>
  <c r="L169" i="4" s="1"/>
  <c r="N169" i="4" s="1"/>
  <c r="O169" i="4" s="1"/>
  <c r="H165" i="4"/>
  <c r="J165" i="4" s="1"/>
  <c r="L165" i="4" s="1"/>
  <c r="N165" i="4" s="1"/>
  <c r="O165" i="4" s="1"/>
  <c r="H161" i="4"/>
  <c r="J161" i="4" s="1"/>
  <c r="L161" i="4" s="1"/>
  <c r="H109" i="4"/>
  <c r="J109" i="4" s="1"/>
  <c r="L109" i="4" s="1"/>
  <c r="H105" i="4"/>
  <c r="J105" i="4" s="1"/>
  <c r="L105" i="4" s="1"/>
  <c r="H97" i="4"/>
  <c r="J97" i="4" s="1"/>
  <c r="L97" i="4" s="1"/>
  <c r="H77" i="4"/>
  <c r="J77" i="4" s="1"/>
  <c r="L77" i="4" s="1"/>
  <c r="H73" i="4"/>
  <c r="J73" i="4" s="1"/>
  <c r="L73" i="4" s="1"/>
  <c r="H69" i="4"/>
  <c r="J69" i="4" s="1"/>
  <c r="L69" i="4" s="1"/>
  <c r="H65" i="4"/>
  <c r="J65" i="4" s="1"/>
  <c r="L65" i="4" s="1"/>
  <c r="H61" i="4"/>
  <c r="J61" i="4" s="1"/>
  <c r="L61" i="4" s="1"/>
  <c r="H33" i="4"/>
  <c r="J33" i="4" s="1"/>
  <c r="L33" i="4" s="1"/>
  <c r="M203" i="4"/>
  <c r="M195" i="4"/>
  <c r="H194" i="4"/>
  <c r="J194" i="4" s="1"/>
  <c r="L194" i="4" s="1"/>
  <c r="M192" i="4"/>
  <c r="M189" i="4"/>
  <c r="M178" i="4"/>
  <c r="M175" i="4"/>
  <c r="H172" i="4"/>
  <c r="J172" i="4" s="1"/>
  <c r="L172" i="4" s="1"/>
  <c r="N172" i="4" s="1"/>
  <c r="O172" i="4" s="1"/>
  <c r="M164" i="4"/>
  <c r="M161" i="4"/>
  <c r="M158" i="4"/>
  <c r="M157" i="4"/>
  <c r="N157" i="4" s="1"/>
  <c r="M146" i="4"/>
  <c r="M143" i="4"/>
  <c r="M131" i="4"/>
  <c r="M128" i="4"/>
  <c r="M125" i="4"/>
  <c r="M118" i="4"/>
  <c r="M115" i="4"/>
  <c r="M106" i="4"/>
  <c r="H98" i="4"/>
  <c r="J98" i="4" s="1"/>
  <c r="L98" i="4" s="1"/>
  <c r="N98" i="4" s="1"/>
  <c r="O98" i="4" s="1"/>
  <c r="M89" i="4"/>
  <c r="M80" i="4"/>
  <c r="M72" i="4"/>
  <c r="M64" i="4"/>
  <c r="M49" i="4"/>
  <c r="M41" i="4"/>
  <c r="M38" i="4"/>
  <c r="M30" i="4"/>
  <c r="M27" i="4"/>
  <c r="M19" i="4"/>
  <c r="M11" i="4"/>
  <c r="H10" i="4"/>
  <c r="J10" i="4" s="1"/>
  <c r="L10" i="4" s="1"/>
  <c r="N10" i="4" s="1"/>
  <c r="O10" i="4" s="1"/>
  <c r="M206" i="4"/>
  <c r="H179" i="4"/>
  <c r="J179" i="4" s="1"/>
  <c r="L179" i="4" s="1"/>
  <c r="N179" i="4" s="1"/>
  <c r="O179" i="4" s="1"/>
  <c r="H79" i="4"/>
  <c r="J79" i="4" s="1"/>
  <c r="L79" i="4" s="1"/>
  <c r="H71" i="4"/>
  <c r="J71" i="4" s="1"/>
  <c r="L71" i="4" s="1"/>
  <c r="H55" i="4"/>
  <c r="J55" i="4" s="1"/>
  <c r="L55" i="4" s="1"/>
  <c r="H205" i="4"/>
  <c r="J205" i="4" s="1"/>
  <c r="L205" i="4" s="1"/>
  <c r="N205" i="4" s="1"/>
  <c r="O205" i="4" s="1"/>
  <c r="H193" i="4"/>
  <c r="J193" i="4" s="1"/>
  <c r="L193" i="4" s="1"/>
  <c r="N193" i="4" s="1"/>
  <c r="O193" i="4" s="1"/>
  <c r="H189" i="4"/>
  <c r="J189" i="4" s="1"/>
  <c r="L189" i="4" s="1"/>
  <c r="H185" i="4"/>
  <c r="J185" i="4" s="1"/>
  <c r="L185" i="4" s="1"/>
  <c r="H177" i="4"/>
  <c r="J177" i="4" s="1"/>
  <c r="L177" i="4" s="1"/>
  <c r="H157" i="4"/>
  <c r="J157" i="4" s="1"/>
  <c r="J103" i="4"/>
  <c r="L103" i="4" s="1"/>
  <c r="H195" i="4"/>
  <c r="J195" i="4" s="1"/>
  <c r="L195" i="4" s="1"/>
  <c r="H191" i="4"/>
  <c r="J191" i="4" s="1"/>
  <c r="L191" i="4" s="1"/>
  <c r="N191" i="4" s="1"/>
  <c r="O191" i="4" s="1"/>
  <c r="H171" i="4"/>
  <c r="J171" i="4" s="1"/>
  <c r="L171" i="4" s="1"/>
  <c r="H163" i="4"/>
  <c r="J163" i="4" s="1"/>
  <c r="L163" i="4" s="1"/>
  <c r="H143" i="4"/>
  <c r="J143" i="4" s="1"/>
  <c r="L143" i="4" s="1"/>
  <c r="H139" i="4"/>
  <c r="J139" i="4" s="1"/>
  <c r="L139" i="4" s="1"/>
  <c r="N139" i="4" s="1"/>
  <c r="O139" i="4" s="1"/>
  <c r="H135" i="4"/>
  <c r="J135" i="4" s="1"/>
  <c r="L135" i="4" s="1"/>
  <c r="N135" i="4" s="1"/>
  <c r="O135" i="4" s="1"/>
  <c r="H131" i="4"/>
  <c r="J131" i="4" s="1"/>
  <c r="L131" i="4" s="1"/>
  <c r="N131" i="4" s="1"/>
  <c r="O131" i="4" s="1"/>
  <c r="H87" i="4"/>
  <c r="J87" i="4" s="1"/>
  <c r="L87" i="4" s="1"/>
  <c r="N87" i="4" s="1"/>
  <c r="O87" i="4" s="1"/>
  <c r="M114" i="4"/>
  <c r="M109" i="4"/>
  <c r="H107" i="4"/>
  <c r="J107" i="4" s="1"/>
  <c r="L107" i="4" s="1"/>
  <c r="M105" i="4"/>
  <c r="M100" i="4"/>
  <c r="M95" i="4"/>
  <c r="M94" i="4"/>
  <c r="M90" i="4"/>
  <c r="M86" i="4"/>
  <c r="M81" i="4"/>
  <c r="M77" i="4"/>
  <c r="H75" i="4"/>
  <c r="J75" i="4" s="1"/>
  <c r="L75" i="4" s="1"/>
  <c r="M73" i="4"/>
  <c r="M69" i="4"/>
  <c r="H67" i="4"/>
  <c r="J67" i="4" s="1"/>
  <c r="L67" i="4" s="1"/>
  <c r="M65" i="4"/>
  <c r="M61" i="4"/>
  <c r="M55" i="4"/>
  <c r="M50" i="4"/>
  <c r="M46" i="4"/>
  <c r="M42" i="4"/>
  <c r="H39" i="4"/>
  <c r="J39" i="4" s="1"/>
  <c r="L39" i="4" s="1"/>
  <c r="M37" i="4"/>
  <c r="M33" i="4"/>
  <c r="H31" i="4"/>
  <c r="J31" i="4" s="1"/>
  <c r="L31" i="4" s="1"/>
  <c r="M29" i="4"/>
  <c r="M24" i="4"/>
  <c r="M20" i="4"/>
  <c r="M16" i="4"/>
  <c r="M12" i="4"/>
  <c r="M8" i="4"/>
  <c r="M134" i="4" s="1"/>
  <c r="H206" i="4"/>
  <c r="J206" i="4" s="1"/>
  <c r="L206" i="4" s="1"/>
  <c r="H198" i="4"/>
  <c r="J198" i="4" s="1"/>
  <c r="L198" i="4" s="1"/>
  <c r="H190" i="4"/>
  <c r="J190" i="4" s="1"/>
  <c r="L190" i="4" s="1"/>
  <c r="H182" i="4"/>
  <c r="J182" i="4" s="1"/>
  <c r="L182" i="4" s="1"/>
  <c r="H178" i="4"/>
  <c r="J178" i="4" s="1"/>
  <c r="L178" i="4" s="1"/>
  <c r="N178" i="4" s="1"/>
  <c r="O178" i="4" s="1"/>
  <c r="H174" i="4"/>
  <c r="J174" i="4" s="1"/>
  <c r="L174" i="4" s="1"/>
  <c r="N174" i="4" s="1"/>
  <c r="O174" i="4" s="1"/>
  <c r="H166" i="4"/>
  <c r="J166" i="4" s="1"/>
  <c r="L166" i="4" s="1"/>
  <c r="H158" i="4"/>
  <c r="J158" i="4" s="1"/>
  <c r="L158" i="4" s="1"/>
  <c r="N158" i="4" s="1"/>
  <c r="O158" i="4" s="1"/>
  <c r="H154" i="4"/>
  <c r="J154" i="4" s="1"/>
  <c r="L154" i="4" s="1"/>
  <c r="H150" i="4"/>
  <c r="J150" i="4" s="1"/>
  <c r="L150" i="4" s="1"/>
  <c r="N150" i="4" s="1"/>
  <c r="O150" i="4" s="1"/>
  <c r="H146" i="4"/>
  <c r="J146" i="4" s="1"/>
  <c r="L146" i="4" s="1"/>
  <c r="N146" i="4" s="1"/>
  <c r="O146" i="4" s="1"/>
  <c r="H142" i="4"/>
  <c r="J142" i="4" s="1"/>
  <c r="L142" i="4" s="1"/>
  <c r="N142" i="4" s="1"/>
  <c r="O142" i="4" s="1"/>
  <c r="H134" i="4"/>
  <c r="J134" i="4" s="1"/>
  <c r="L134" i="4" s="1"/>
  <c r="H130" i="4"/>
  <c r="J130" i="4" s="1"/>
  <c r="L130" i="4" s="1"/>
  <c r="H126" i="4"/>
  <c r="J126" i="4" s="1"/>
  <c r="L126" i="4" s="1"/>
  <c r="N126" i="4" s="1"/>
  <c r="O126" i="4" s="1"/>
  <c r="H122" i="4"/>
  <c r="J122" i="4" s="1"/>
  <c r="L122" i="4" s="1"/>
  <c r="H118" i="4"/>
  <c r="J118" i="4" s="1"/>
  <c r="L118" i="4" s="1"/>
  <c r="N118" i="4" s="1"/>
  <c r="O118" i="4" s="1"/>
  <c r="H114" i="4"/>
  <c r="J114" i="4" s="1"/>
  <c r="L114" i="4" s="1"/>
  <c r="H106" i="4"/>
  <c r="J106" i="4" s="1"/>
  <c r="L106" i="4" s="1"/>
  <c r="N106" i="4" s="1"/>
  <c r="O106" i="4" s="1"/>
  <c r="H102" i="4"/>
  <c r="J102" i="4" s="1"/>
  <c r="L102" i="4" s="1"/>
  <c r="H90" i="4"/>
  <c r="J90" i="4" s="1"/>
  <c r="L90" i="4" s="1"/>
  <c r="N90" i="4" s="1"/>
  <c r="O90" i="4" s="1"/>
  <c r="H86" i="4"/>
  <c r="J86" i="4" s="1"/>
  <c r="L86" i="4" s="1"/>
  <c r="N86" i="4" s="1"/>
  <c r="O86" i="4" s="1"/>
  <c r="H62" i="4"/>
  <c r="J62" i="4" s="1"/>
  <c r="L62" i="4" s="1"/>
  <c r="N62" i="4" s="1"/>
  <c r="O62" i="4" s="1"/>
  <c r="H58" i="4"/>
  <c r="J58" i="4" s="1"/>
  <c r="L58" i="4" s="1"/>
  <c r="H54" i="4"/>
  <c r="J54" i="4" s="1"/>
  <c r="L54" i="4" s="1"/>
  <c r="N54" i="4" s="1"/>
  <c r="O54" i="4" s="1"/>
  <c r="H50" i="4"/>
  <c r="J50" i="4" s="1"/>
  <c r="L50" i="4" s="1"/>
  <c r="H46" i="4"/>
  <c r="J46" i="4" s="1"/>
  <c r="L46" i="4" s="1"/>
  <c r="H34" i="4"/>
  <c r="J34" i="4" s="1"/>
  <c r="L34" i="4" s="1"/>
  <c r="H18" i="4"/>
  <c r="J18" i="4" s="1"/>
  <c r="L18" i="4" s="1"/>
  <c r="H14" i="4"/>
  <c r="J14" i="4" s="1"/>
  <c r="L14" i="4" s="1"/>
  <c r="H141" i="4"/>
  <c r="J141" i="4" s="1"/>
  <c r="L141" i="4" s="1"/>
  <c r="N141" i="4" s="1"/>
  <c r="O141" i="4" s="1"/>
  <c r="H137" i="4"/>
  <c r="J137" i="4" s="1"/>
  <c r="L137" i="4" s="1"/>
  <c r="N137" i="4" s="1"/>
  <c r="O137" i="4" s="1"/>
  <c r="H133" i="4"/>
  <c r="J133" i="4" s="1"/>
  <c r="L133" i="4" s="1"/>
  <c r="H129" i="4"/>
  <c r="J129" i="4" s="1"/>
  <c r="L129" i="4" s="1"/>
  <c r="N129" i="4" s="1"/>
  <c r="O129" i="4" s="1"/>
  <c r="H125" i="4"/>
  <c r="J125" i="4" s="1"/>
  <c r="L125" i="4" s="1"/>
  <c r="H121" i="4"/>
  <c r="J121" i="4" s="1"/>
  <c r="L121" i="4" s="1"/>
  <c r="N121" i="4" s="1"/>
  <c r="O121" i="4" s="1"/>
  <c r="H117" i="4"/>
  <c r="J117" i="4" s="1"/>
  <c r="L117" i="4" s="1"/>
  <c r="H113" i="4"/>
  <c r="J113" i="4" s="1"/>
  <c r="L113" i="4" s="1"/>
  <c r="N113" i="4" s="1"/>
  <c r="O113" i="4" s="1"/>
  <c r="H101" i="4"/>
  <c r="J101" i="4" s="1"/>
  <c r="L101" i="4" s="1"/>
  <c r="N101" i="4" s="1"/>
  <c r="O101" i="4" s="1"/>
  <c r="H93" i="4"/>
  <c r="J93" i="4" s="1"/>
  <c r="L93" i="4" s="1"/>
  <c r="H89" i="4"/>
  <c r="J89" i="4" s="1"/>
  <c r="L89" i="4" s="1"/>
  <c r="H85" i="4"/>
  <c r="J85" i="4" s="1"/>
  <c r="L85" i="4" s="1"/>
  <c r="N85" i="4" s="1"/>
  <c r="O85" i="4" s="1"/>
  <c r="H21" i="4"/>
  <c r="J21" i="4" s="1"/>
  <c r="L21" i="4" s="1"/>
  <c r="N21" i="4" s="1"/>
  <c r="O21" i="4" s="1"/>
  <c r="H13" i="4"/>
  <c r="J13" i="4" s="1"/>
  <c r="L13" i="4" s="1"/>
  <c r="N13" i="4" s="1"/>
  <c r="O13" i="4" s="1"/>
  <c r="M204" i="4"/>
  <c r="M199" i="4"/>
  <c r="M194" i="4"/>
  <c r="M190" i="4"/>
  <c r="M185" i="4"/>
  <c r="H183" i="4"/>
  <c r="J183" i="4" s="1"/>
  <c r="L183" i="4" s="1"/>
  <c r="M181" i="4"/>
  <c r="M177" i="4"/>
  <c r="M171" i="4"/>
  <c r="M167" i="4"/>
  <c r="M163" i="4"/>
  <c r="M159" i="4"/>
  <c r="M153" i="4"/>
  <c r="H151" i="4"/>
  <c r="J151" i="4" s="1"/>
  <c r="L151" i="4" s="1"/>
  <c r="M149" i="4"/>
  <c r="M144" i="4"/>
  <c r="M140" i="4"/>
  <c r="M130" i="4"/>
  <c r="M126" i="4"/>
  <c r="M122" i="4"/>
  <c r="M117" i="4"/>
  <c r="M112" i="4"/>
  <c r="M107" i="4"/>
  <c r="M103" i="4"/>
  <c r="M102" i="4"/>
  <c r="M97" i="4"/>
  <c r="M92" i="4"/>
  <c r="M88" i="4"/>
  <c r="M84" i="4"/>
  <c r="M79" i="4"/>
  <c r="M75" i="4"/>
  <c r="M71" i="4"/>
  <c r="M67" i="4"/>
  <c r="M63" i="4"/>
  <c r="M59" i="4"/>
  <c r="M58" i="4"/>
  <c r="M53" i="4"/>
  <c r="M52" i="4"/>
  <c r="M48" i="4"/>
  <c r="M44" i="4"/>
  <c r="M40" i="4"/>
  <c r="M39" i="4"/>
  <c r="M35" i="4"/>
  <c r="M31" i="4"/>
  <c r="M26" i="4"/>
  <c r="M22" i="4"/>
  <c r="M18" i="4"/>
  <c r="M14" i="4"/>
  <c r="H144" i="4"/>
  <c r="J144" i="4" s="1"/>
  <c r="L144" i="4" s="1"/>
  <c r="H48" i="4"/>
  <c r="J48" i="4" s="1"/>
  <c r="L48" i="4" s="1"/>
  <c r="H44" i="4"/>
  <c r="J44" i="4" s="1"/>
  <c r="L44" i="4" s="1"/>
  <c r="H36" i="4"/>
  <c r="J36" i="4" s="1"/>
  <c r="L36" i="4" s="1"/>
  <c r="N36" i="4" s="1"/>
  <c r="O36" i="4" s="1"/>
  <c r="H32" i="4"/>
  <c r="J32" i="4" s="1"/>
  <c r="L32" i="4" s="1"/>
  <c r="N32" i="4" s="1"/>
  <c r="O32" i="4" s="1"/>
  <c r="H24" i="4"/>
  <c r="J24" i="4" s="1"/>
  <c r="L24" i="4" s="1"/>
  <c r="H20" i="4"/>
  <c r="J20" i="4" s="1"/>
  <c r="L20" i="4" s="1"/>
  <c r="H16" i="4"/>
  <c r="J16" i="4" s="1"/>
  <c r="L16" i="4" s="1"/>
  <c r="H12" i="4"/>
  <c r="J12" i="4" s="1"/>
  <c r="L12" i="4" s="1"/>
  <c r="H8" i="4"/>
  <c r="J8" i="4" s="1"/>
  <c r="L8" i="4" s="1"/>
  <c r="H26" i="4"/>
  <c r="J26" i="4" s="1"/>
  <c r="L26" i="4" s="1"/>
  <c r="H72" i="4"/>
  <c r="J72" i="4" s="1"/>
  <c r="L72" i="4" s="1"/>
  <c r="H52" i="4"/>
  <c r="J52" i="4" s="1"/>
  <c r="L52" i="4" s="1"/>
  <c r="H159" i="4"/>
  <c r="J159" i="4" s="1"/>
  <c r="L159" i="4" s="1"/>
  <c r="H63" i="4"/>
  <c r="J63" i="4" s="1"/>
  <c r="L63" i="4" s="1"/>
  <c r="H45" i="4"/>
  <c r="J45" i="4" s="1"/>
  <c r="L45" i="4" s="1"/>
  <c r="H199" i="4"/>
  <c r="J199" i="4" s="1"/>
  <c r="L199" i="4" s="1"/>
  <c r="H47" i="4"/>
  <c r="J47" i="4" s="1"/>
  <c r="L47" i="4" s="1"/>
  <c r="N47" i="4" s="1"/>
  <c r="O47" i="4" s="1"/>
  <c r="H43" i="4"/>
  <c r="J43" i="4" s="1"/>
  <c r="L43" i="4" s="1"/>
  <c r="N43" i="4" s="1"/>
  <c r="O43" i="4" s="1"/>
  <c r="H27" i="4"/>
  <c r="J27" i="4" s="1"/>
  <c r="L27" i="4" s="1"/>
  <c r="H127" i="4"/>
  <c r="J127" i="4" s="1"/>
  <c r="L127" i="4" s="1"/>
  <c r="N127" i="4" s="1"/>
  <c r="O127" i="4" s="1"/>
  <c r="H184" i="4"/>
  <c r="J184" i="4" s="1"/>
  <c r="L184" i="4" s="1"/>
  <c r="N184" i="4" s="1"/>
  <c r="O184" i="4" s="1"/>
  <c r="H164" i="4"/>
  <c r="J164" i="4" s="1"/>
  <c r="L164" i="4" s="1"/>
  <c r="H140" i="4"/>
  <c r="J140" i="4" s="1"/>
  <c r="L140" i="4" s="1"/>
  <c r="H128" i="4"/>
  <c r="J128" i="4" s="1"/>
  <c r="L128" i="4" s="1"/>
  <c r="H112" i="4"/>
  <c r="J112" i="4" s="1"/>
  <c r="L112" i="4" s="1"/>
  <c r="N112" i="4" s="1"/>
  <c r="O112" i="4" s="1"/>
  <c r="H100" i="4"/>
  <c r="J100" i="4" s="1"/>
  <c r="L100" i="4" s="1"/>
  <c r="H92" i="4"/>
  <c r="J92" i="4" s="1"/>
  <c r="L92" i="4" s="1"/>
  <c r="N92" i="4" s="1"/>
  <c r="O92" i="4" s="1"/>
  <c r="H76" i="4"/>
  <c r="J76" i="4" s="1"/>
  <c r="L76" i="4" s="1"/>
  <c r="H66" i="4"/>
  <c r="J66" i="4" s="1"/>
  <c r="L66" i="4" s="1"/>
  <c r="N66" i="4" s="1"/>
  <c r="O66" i="4" s="1"/>
  <c r="H200" i="4"/>
  <c r="J200" i="4" s="1"/>
  <c r="L200" i="4" s="1"/>
  <c r="N200" i="4" s="1"/>
  <c r="O200" i="4" s="1"/>
  <c r="H188" i="4"/>
  <c r="J188" i="4" s="1"/>
  <c r="L188" i="4" s="1"/>
  <c r="N188" i="4" s="1"/>
  <c r="O188" i="4" s="1"/>
  <c r="H176" i="4"/>
  <c r="J176" i="4" s="1"/>
  <c r="L176" i="4" s="1"/>
  <c r="N176" i="4" s="1"/>
  <c r="O176" i="4" s="1"/>
  <c r="H168" i="4"/>
  <c r="J168" i="4" s="1"/>
  <c r="L168" i="4" s="1"/>
  <c r="N168" i="4" s="1"/>
  <c r="O168" i="4" s="1"/>
  <c r="H160" i="4"/>
  <c r="J160" i="4" s="1"/>
  <c r="L160" i="4" s="1"/>
  <c r="H132" i="4"/>
  <c r="J132" i="4" s="1"/>
  <c r="L132" i="4" s="1"/>
  <c r="N132" i="4" s="1"/>
  <c r="O132" i="4" s="1"/>
  <c r="H108" i="4"/>
  <c r="J108" i="4" s="1"/>
  <c r="L108" i="4" s="1"/>
  <c r="N108" i="4" s="1"/>
  <c r="O108" i="4" s="1"/>
  <c r="H96" i="4"/>
  <c r="J96" i="4" s="1"/>
  <c r="L96" i="4" s="1"/>
  <c r="N96" i="4" s="1"/>
  <c r="O96" i="4" s="1"/>
  <c r="H84" i="4"/>
  <c r="J84" i="4" s="1"/>
  <c r="L84" i="4" s="1"/>
  <c r="H68" i="4"/>
  <c r="J68" i="4" s="1"/>
  <c r="L68" i="4" s="1"/>
  <c r="H56" i="4"/>
  <c r="J56" i="4" s="1"/>
  <c r="L56" i="4" s="1"/>
  <c r="N56" i="4" s="1"/>
  <c r="O56" i="4" s="1"/>
  <c r="J123" i="4"/>
  <c r="L123" i="4" s="1"/>
  <c r="N123" i="4" s="1"/>
  <c r="O123" i="4" s="1"/>
  <c r="J115" i="4"/>
  <c r="L115" i="4" s="1"/>
  <c r="J15" i="4"/>
  <c r="L15" i="4" s="1"/>
  <c r="J187" i="4"/>
  <c r="L187" i="4" s="1"/>
  <c r="N187" i="4" s="1"/>
  <c r="O187" i="4" s="1"/>
  <c r="J116" i="4"/>
  <c r="L116" i="4" s="1"/>
  <c r="J83" i="4"/>
  <c r="L83" i="4" s="1"/>
  <c r="N83" i="4" s="1"/>
  <c r="O83" i="4" s="1"/>
  <c r="H186" i="4"/>
  <c r="J186" i="4" s="1"/>
  <c r="L186" i="4" s="1"/>
  <c r="N186" i="4" s="1"/>
  <c r="O186" i="4" s="1"/>
  <c r="H138" i="4"/>
  <c r="J138" i="4" s="1"/>
  <c r="L138" i="4" s="1"/>
  <c r="H110" i="4"/>
  <c r="J110" i="4" s="1"/>
  <c r="L110" i="4" s="1"/>
  <c r="N110" i="4" s="1"/>
  <c r="O110" i="4" s="1"/>
  <c r="H94" i="4"/>
  <c r="J94" i="4" s="1"/>
  <c r="L94" i="4" s="1"/>
  <c r="H38" i="4"/>
  <c r="J38" i="4" s="1"/>
  <c r="L38" i="4" s="1"/>
  <c r="N38" i="4" s="1"/>
  <c r="O38" i="4" s="1"/>
  <c r="H22" i="4"/>
  <c r="J22" i="4" s="1"/>
  <c r="L22" i="4" s="1"/>
  <c r="H49" i="4"/>
  <c r="J49" i="4" s="1"/>
  <c r="L49" i="4" s="1"/>
  <c r="N49" i="4" s="1"/>
  <c r="O49" i="4" s="1"/>
  <c r="H41" i="4"/>
  <c r="J41" i="4" s="1"/>
  <c r="L41" i="4" s="1"/>
  <c r="N41" i="4" s="1"/>
  <c r="O41" i="4" s="1"/>
  <c r="H29" i="4"/>
  <c r="J29" i="4" s="1"/>
  <c r="L29" i="4" s="1"/>
  <c r="H202" i="4"/>
  <c r="J202" i="4" s="1"/>
  <c r="L202" i="4" s="1"/>
  <c r="H192" i="4"/>
  <c r="J192" i="4" s="1"/>
  <c r="L192" i="4" s="1"/>
  <c r="H170" i="4"/>
  <c r="J170" i="4" s="1"/>
  <c r="L170" i="4" s="1"/>
  <c r="H153" i="4"/>
  <c r="J153" i="4" s="1"/>
  <c r="L153" i="4" s="1"/>
  <c r="H148" i="4"/>
  <c r="J148" i="4" s="1"/>
  <c r="L148" i="4" s="1"/>
  <c r="H80" i="4"/>
  <c r="J80" i="4" s="1"/>
  <c r="L80" i="4" s="1"/>
  <c r="N80" i="4" s="1"/>
  <c r="O80" i="4" s="1"/>
  <c r="H78" i="4"/>
  <c r="J78" i="4" s="1"/>
  <c r="L78" i="4" s="1"/>
  <c r="N78" i="4" s="1"/>
  <c r="O78" i="4" s="1"/>
  <c r="H70" i="4"/>
  <c r="J70" i="4" s="1"/>
  <c r="L70" i="4" s="1"/>
  <c r="N70" i="4" s="1"/>
  <c r="O70" i="4" s="1"/>
  <c r="H64" i="4"/>
  <c r="J64" i="4" s="1"/>
  <c r="L64" i="4" s="1"/>
  <c r="H42" i="4"/>
  <c r="J42" i="4" s="1"/>
  <c r="L42" i="4" s="1"/>
  <c r="H25" i="4"/>
  <c r="J25" i="4" s="1"/>
  <c r="L25" i="4" s="1"/>
  <c r="N25" i="4" s="1"/>
  <c r="O25" i="4" s="1"/>
  <c r="H196" i="4"/>
  <c r="J196" i="4" s="1"/>
  <c r="L196" i="4" s="1"/>
  <c r="N196" i="4" s="1"/>
  <c r="O196" i="4" s="1"/>
  <c r="H180" i="4"/>
  <c r="J180" i="4" s="1"/>
  <c r="L180" i="4" s="1"/>
  <c r="H155" i="4"/>
  <c r="J155" i="4" s="1"/>
  <c r="L155" i="4" s="1"/>
  <c r="H149" i="4"/>
  <c r="J149" i="4" s="1"/>
  <c r="L149" i="4" s="1"/>
  <c r="N149" i="4" s="1"/>
  <c r="O149" i="4" s="1"/>
  <c r="H124" i="4"/>
  <c r="J124" i="4" s="1"/>
  <c r="L124" i="4" s="1"/>
  <c r="N124" i="4" s="1"/>
  <c r="O124" i="4" s="1"/>
  <c r="H91" i="4"/>
  <c r="J91" i="4" s="1"/>
  <c r="L91" i="4" s="1"/>
  <c r="N91" i="4" s="1"/>
  <c r="O91" i="4" s="1"/>
  <c r="H145" i="4"/>
  <c r="J145" i="4" s="1"/>
  <c r="L145" i="4" s="1"/>
  <c r="N145" i="4" s="1"/>
  <c r="O145" i="4" s="1"/>
  <c r="H136" i="4"/>
  <c r="J136" i="4" s="1"/>
  <c r="L136" i="4" s="1"/>
  <c r="N136" i="4" s="1"/>
  <c r="O136" i="4" s="1"/>
  <c r="H120" i="4"/>
  <c r="J120" i="4" s="1"/>
  <c r="L120" i="4" s="1"/>
  <c r="N120" i="4" s="1"/>
  <c r="O120" i="4" s="1"/>
  <c r="H104" i="4"/>
  <c r="J104" i="4" s="1"/>
  <c r="L104" i="4" s="1"/>
  <c r="N104" i="4" s="1"/>
  <c r="O104" i="4" s="1"/>
  <c r="H88" i="4"/>
  <c r="J88" i="4" s="1"/>
  <c r="L88" i="4" s="1"/>
  <c r="N74" i="4"/>
  <c r="O74" i="4" s="1"/>
  <c r="H23" i="4"/>
  <c r="J23" i="4" s="1"/>
  <c r="L23" i="4" s="1"/>
  <c r="H11" i="4"/>
  <c r="J11" i="4" s="1"/>
  <c r="L11" i="4" s="1"/>
  <c r="J9" i="4"/>
  <c r="L9" i="4" s="1"/>
  <c r="N9" i="4" s="1"/>
  <c r="O9" i="4" s="1"/>
  <c r="H60" i="4"/>
  <c r="J60" i="4" s="1"/>
  <c r="L60" i="4" s="1"/>
  <c r="N60" i="4" s="1"/>
  <c r="O60" i="4" s="1"/>
  <c r="H51" i="4"/>
  <c r="J51" i="4" s="1"/>
  <c r="H35" i="4"/>
  <c r="J35" i="4" s="1"/>
  <c r="L35" i="4" s="1"/>
  <c r="N35" i="4" s="1"/>
  <c r="O35" i="4" s="1"/>
  <c r="H19" i="4"/>
  <c r="J19" i="4" s="1"/>
  <c r="L19" i="4" s="1"/>
  <c r="N19" i="4" s="1"/>
  <c r="O19" i="4" s="1"/>
  <c r="N180" i="4" l="1"/>
  <c r="O180" i="4" s="1"/>
  <c r="N81" i="4"/>
  <c r="O81" i="4" s="1"/>
  <c r="N42" i="4"/>
  <c r="O42" i="4" s="1"/>
  <c r="N114" i="4"/>
  <c r="O114" i="4" s="1"/>
  <c r="N68" i="4"/>
  <c r="O68" i="4" s="1"/>
  <c r="N72" i="4"/>
  <c r="O72" i="4" s="1"/>
  <c r="N16" i="4"/>
  <c r="O16" i="4" s="1"/>
  <c r="N133" i="4"/>
  <c r="O133" i="4" s="1"/>
  <c r="N194" i="4"/>
  <c r="O194" i="4" s="1"/>
  <c r="N33" i="4"/>
  <c r="O33" i="4" s="1"/>
  <c r="N73" i="4"/>
  <c r="O73" i="4" s="1"/>
  <c r="N109" i="4"/>
  <c r="O109" i="4" s="1"/>
  <c r="N181" i="4"/>
  <c r="O181" i="4" s="1"/>
  <c r="N173" i="4"/>
  <c r="O173" i="4" s="1"/>
  <c r="N170" i="4"/>
  <c r="O170" i="4" s="1"/>
  <c r="N198" i="4"/>
  <c r="O198" i="4" s="1"/>
  <c r="N69" i="4"/>
  <c r="O69" i="4" s="1"/>
  <c r="N11" i="4"/>
  <c r="O11" i="4" s="1"/>
  <c r="N100" i="4"/>
  <c r="O100" i="4" s="1"/>
  <c r="N182" i="4"/>
  <c r="O182" i="4" s="1"/>
  <c r="N107" i="4"/>
  <c r="O107" i="4" s="1"/>
  <c r="N163" i="4"/>
  <c r="O163" i="4" s="1"/>
  <c r="N7" i="4"/>
  <c r="O7" i="4" s="1"/>
  <c r="N61" i="4"/>
  <c r="O61" i="4" s="1"/>
  <c r="N161" i="4"/>
  <c r="O161" i="4" s="1"/>
  <c r="N201" i="4"/>
  <c r="O201" i="4" s="1"/>
  <c r="N37" i="4"/>
  <c r="O37" i="4" s="1"/>
  <c r="N53" i="4"/>
  <c r="O53" i="4" s="1"/>
  <c r="N155" i="4"/>
  <c r="O155" i="4" s="1"/>
  <c r="N45" i="4"/>
  <c r="O45" i="4" s="1"/>
  <c r="N125" i="4"/>
  <c r="O125" i="4" s="1"/>
  <c r="N23" i="4"/>
  <c r="O23" i="4" s="1"/>
  <c r="N88" i="4"/>
  <c r="O88" i="4" s="1"/>
  <c r="N64" i="4"/>
  <c r="O64" i="4" s="1"/>
  <c r="N192" i="4"/>
  <c r="O192" i="4" s="1"/>
  <c r="N197" i="4"/>
  <c r="O197" i="4" s="1"/>
  <c r="N30" i="4"/>
  <c r="O30" i="4" s="1"/>
  <c r="N189" i="4"/>
  <c r="O189" i="4" s="1"/>
  <c r="N99" i="4"/>
  <c r="O99" i="4" s="1"/>
  <c r="N160" i="4"/>
  <c r="O160" i="4" s="1"/>
  <c r="N164" i="4"/>
  <c r="O164" i="4" s="1"/>
  <c r="N148" i="4"/>
  <c r="O148" i="4" s="1"/>
  <c r="N202" i="4"/>
  <c r="O202" i="4" s="1"/>
  <c r="N138" i="4"/>
  <c r="O138" i="4" s="1"/>
  <c r="N116" i="4"/>
  <c r="O116" i="4" s="1"/>
  <c r="N175" i="4"/>
  <c r="O175" i="4" s="1"/>
  <c r="N15" i="4"/>
  <c r="O15" i="4" s="1"/>
  <c r="N115" i="4"/>
  <c r="O115" i="4" s="1"/>
  <c r="N203" i="4"/>
  <c r="O203" i="4" s="1"/>
  <c r="N154" i="4"/>
  <c r="O154" i="4" s="1"/>
  <c r="N24" i="4"/>
  <c r="O24" i="4" s="1"/>
  <c r="N48" i="4"/>
  <c r="O48" i="4" s="1"/>
  <c r="N151" i="4"/>
  <c r="O151" i="4" s="1"/>
  <c r="N183" i="4"/>
  <c r="O183" i="4" s="1"/>
  <c r="N206" i="4"/>
  <c r="O206" i="4" s="1"/>
  <c r="N75" i="4"/>
  <c r="O75" i="4" s="1"/>
  <c r="N71" i="4"/>
  <c r="O71" i="4" s="1"/>
  <c r="N65" i="4"/>
  <c r="O65" i="4" s="1"/>
  <c r="N46" i="4"/>
  <c r="O46" i="4" s="1"/>
  <c r="N105" i="4"/>
  <c r="O105" i="4" s="1"/>
  <c r="N27" i="4"/>
  <c r="O27" i="4" s="1"/>
  <c r="N89" i="4"/>
  <c r="O89" i="4" s="1"/>
  <c r="N166" i="4"/>
  <c r="O166" i="4" s="1"/>
  <c r="N39" i="4"/>
  <c r="O39" i="4" s="1"/>
  <c r="N22" i="4"/>
  <c r="O22" i="4" s="1"/>
  <c r="N93" i="4"/>
  <c r="O93" i="4" s="1"/>
  <c r="N167" i="4"/>
  <c r="O167" i="4" s="1"/>
  <c r="N204" i="4"/>
  <c r="O204" i="4" s="1"/>
  <c r="N171" i="4"/>
  <c r="O171" i="4" s="1"/>
  <c r="N195" i="4"/>
  <c r="O195" i="4" s="1"/>
  <c r="N63" i="4"/>
  <c r="O63" i="4" s="1"/>
  <c r="N59" i="4"/>
  <c r="O59" i="4" s="1"/>
  <c r="N44" i="4"/>
  <c r="O44" i="4" s="1"/>
  <c r="N20" i="4"/>
  <c r="O20" i="4" s="1"/>
  <c r="N111" i="4"/>
  <c r="O111" i="4" s="1"/>
  <c r="N76" i="4"/>
  <c r="O76" i="4" s="1"/>
  <c r="N128" i="4"/>
  <c r="O128" i="4" s="1"/>
  <c r="N199" i="4"/>
  <c r="O199" i="4" s="1"/>
  <c r="N52" i="4"/>
  <c r="O52" i="4" s="1"/>
  <c r="N12" i="4"/>
  <c r="O12" i="4" s="1"/>
  <c r="N144" i="4"/>
  <c r="N34" i="4"/>
  <c r="O34" i="4" s="1"/>
  <c r="N58" i="4"/>
  <c r="O58" i="4" s="1"/>
  <c r="N102" i="4"/>
  <c r="O102" i="4" s="1"/>
  <c r="N122" i="4"/>
  <c r="O122" i="4" s="1"/>
  <c r="N67" i="4"/>
  <c r="O67" i="4" s="1"/>
  <c r="N143" i="4"/>
  <c r="O143" i="4" s="1"/>
  <c r="N185" i="4"/>
  <c r="O185" i="4" s="1"/>
  <c r="N134" i="4"/>
  <c r="O134" i="4" s="1"/>
  <c r="N84" i="4"/>
  <c r="O84" i="4" s="1"/>
  <c r="N140" i="4"/>
  <c r="O140" i="4" s="1"/>
  <c r="N103" i="4"/>
  <c r="O103" i="4" s="1"/>
  <c r="N153" i="4"/>
  <c r="O153" i="4" s="1"/>
  <c r="N29" i="4"/>
  <c r="O29" i="4" s="1"/>
  <c r="N77" i="4"/>
  <c r="O77" i="4" s="1"/>
  <c r="N55" i="4"/>
  <c r="O55" i="4" s="1"/>
  <c r="N159" i="4"/>
  <c r="O159" i="4" s="1"/>
  <c r="N14" i="4"/>
  <c r="O14" i="4" s="1"/>
  <c r="N31" i="4"/>
  <c r="O31" i="4" s="1"/>
  <c r="N26" i="4"/>
  <c r="O26" i="4" s="1"/>
  <c r="N130" i="4"/>
  <c r="O130" i="4" s="1"/>
  <c r="N50" i="4"/>
  <c r="O50" i="4" s="1"/>
  <c r="N190" i="4"/>
  <c r="O190" i="4" s="1"/>
  <c r="N177" i="4"/>
  <c r="O177" i="4" s="1"/>
  <c r="N117" i="4"/>
  <c r="O117" i="4" s="1"/>
  <c r="N94" i="4"/>
  <c r="O94" i="4" s="1"/>
  <c r="N40" i="4"/>
  <c r="O40" i="4" s="1"/>
  <c r="N95" i="4"/>
  <c r="O95" i="4" s="1"/>
  <c r="N8" i="4"/>
  <c r="O8" i="4" s="1"/>
  <c r="N97" i="4"/>
  <c r="O97" i="4" s="1"/>
  <c r="N18" i="4"/>
  <c r="O18" i="4" s="1"/>
  <c r="N79" i="4"/>
  <c r="O79" i="4" s="1"/>
</calcChain>
</file>

<file path=xl/comments1.xml><?xml version="1.0" encoding="utf-8"?>
<comments xmlns="http://schemas.openxmlformats.org/spreadsheetml/2006/main">
  <authors>
    <author>Beatriz Solis Medina</author>
  </authors>
  <commentList>
    <comment ref="N3" authorId="0" shape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sharedStrings.xml><?xml version="1.0" encoding="utf-8"?>
<sst xmlns="http://schemas.openxmlformats.org/spreadsheetml/2006/main" count="888" uniqueCount="447">
  <si>
    <t>VEHICULO</t>
  </si>
  <si>
    <t>FECHA DE ADQUISICIÓN</t>
  </si>
  <si>
    <t>FECHA DE ENAJENACIÓN</t>
  </si>
  <si>
    <t>MESES DE USO</t>
  </si>
  <si>
    <t>FACTOR DE DEP. MENS</t>
  </si>
  <si>
    <t>VALOR FACTURA</t>
  </si>
  <si>
    <t>PRECIO COMPRA</t>
  </si>
  <si>
    <t>COMENTARIOS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</si>
  <si>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</si>
  <si>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</si>
  <si>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</si>
  <si>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</si>
  <si>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</si>
  <si>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</si>
  <si>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</si>
  <si>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</si>
  <si>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</si>
  <si>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</si>
  <si>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</si>
  <si>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</si>
  <si>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</si>
  <si>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</si>
  <si>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</si>
  <si>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</si>
  <si>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</si>
  <si>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</si>
  <si>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</si>
  <si>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</si>
  <si>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</si>
  <si>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>TOPE DE EXENSION 73.04SMZG (X) 365 (3)   =</t>
  </si>
  <si>
    <t>" 2017 "</t>
  </si>
  <si>
    <t>0001-TCU17</t>
  </si>
  <si>
    <t>AVEO PQ. J 2013</t>
  </si>
  <si>
    <t>VICTOR LATOUR</t>
  </si>
  <si>
    <t>ALBERTO GALLEGOS</t>
  </si>
  <si>
    <t>SIN VALUADOR</t>
  </si>
  <si>
    <t>0002-TCU17</t>
  </si>
  <si>
    <t>SWIFT GA TM 2015</t>
  </si>
  <si>
    <t>LUZ HERNANDEZ</t>
  </si>
  <si>
    <t>0003-TCU17</t>
  </si>
  <si>
    <t>AVANZA HI 4AT 2016</t>
  </si>
  <si>
    <t>0004-TCU17</t>
  </si>
  <si>
    <t>COROLLA S PLUS AT 2016</t>
  </si>
  <si>
    <t>ROBERTO GONZALEZ</t>
  </si>
  <si>
    <t>MARIO CASAS</t>
  </si>
  <si>
    <t>0005-TCU17</t>
  </si>
  <si>
    <t>COROLLA S MT 2016</t>
  </si>
  <si>
    <t>LAURA PATIÑO</t>
  </si>
  <si>
    <t>ADMINISTRACION</t>
  </si>
  <si>
    <t>0006-TCU17</t>
  </si>
  <si>
    <t>HILUX BASIC AC 2014</t>
  </si>
  <si>
    <t>0007-TCU17</t>
  </si>
  <si>
    <t>AVANZA HI 4AT 2012</t>
  </si>
  <si>
    <t>0008-TCU17</t>
  </si>
  <si>
    <t>COROLLA S AT 2014</t>
  </si>
  <si>
    <t>0009-TCU17</t>
  </si>
  <si>
    <t>YARIS SEDAN  2017</t>
  </si>
  <si>
    <t>LIZ CASTRO</t>
  </si>
  <si>
    <t>0010-TCU17</t>
  </si>
  <si>
    <t>SIENNA LIMITED 2012</t>
  </si>
  <si>
    <t>0011-TCU17</t>
  </si>
  <si>
    <t>COROLLA XLE AT 2011</t>
  </si>
  <si>
    <t>GERARDO PLATA</t>
  </si>
  <si>
    <t>MARIHURI GUTIERREZ</t>
  </si>
  <si>
    <t>0012-TCU17</t>
  </si>
  <si>
    <t xml:space="preserve">AVEO LTZ 2012 </t>
  </si>
  <si>
    <t>CASA</t>
  </si>
  <si>
    <t>JUAN MONZON</t>
  </si>
  <si>
    <t>0013-TCU17</t>
  </si>
  <si>
    <t>COLORADO DOB CAB 2012</t>
  </si>
  <si>
    <t>0014-TCU17</t>
  </si>
  <si>
    <t>INVENTARIO CANCELADO</t>
  </si>
  <si>
    <t>0015-TCU17</t>
  </si>
  <si>
    <t>DUSTER DYNAMIQUE 2015</t>
  </si>
  <si>
    <t>PABLO ALFARO</t>
  </si>
  <si>
    <t>0016-TCU17</t>
  </si>
  <si>
    <t>RIO EX HB 2017 BLANCO</t>
  </si>
  <si>
    <t>CECILIA BLANCO</t>
  </si>
  <si>
    <t>0017-TCU17</t>
  </si>
  <si>
    <t>KENT MARTINEZ</t>
  </si>
  <si>
    <t>0018-TCU17</t>
  </si>
  <si>
    <t>0019-TCU17</t>
  </si>
  <si>
    <t>0020-TCU17</t>
  </si>
  <si>
    <t>COLORADO 4X2 CREW CAB 2009</t>
  </si>
  <si>
    <t>0021-TCU17</t>
  </si>
  <si>
    <t>0022-TCU17</t>
  </si>
  <si>
    <t>BUICK ENCLAVE CXL AWD 2011 NEGRO</t>
  </si>
  <si>
    <t>0023-TCU17</t>
  </si>
  <si>
    <t>RENAULT FLUENCE EXPRESSION 2014 BLANCO</t>
  </si>
  <si>
    <t>0024-TCU17</t>
  </si>
  <si>
    <t>DODGE AVENGER SE ATX 2013 ROJO</t>
  </si>
  <si>
    <t>0025-TCU17</t>
  </si>
  <si>
    <t>RENAULT DUSTER DYNAMIQUE 2017</t>
  </si>
  <si>
    <t>0026-TCU17</t>
  </si>
  <si>
    <t>NISSAN SENTRA CUSTOM CVT 2012</t>
  </si>
  <si>
    <t>0027-TCU17</t>
  </si>
  <si>
    <t>TACOMA SPOR 2014</t>
  </si>
  <si>
    <t>ROSAURA GOMEZ</t>
  </si>
  <si>
    <t>0028-TCU17</t>
  </si>
  <si>
    <t>MARCH SENSE 2012 GRIS</t>
  </si>
  <si>
    <t>GUILLERMO CAMARENA</t>
  </si>
  <si>
    <t>0029-TCU17</t>
  </si>
  <si>
    <t>COLORADO DOB CAB 2012 BLANCO</t>
  </si>
  <si>
    <t>0030-TCU17</t>
  </si>
  <si>
    <t>RAM 1500 2013 BLANCA</t>
  </si>
  <si>
    <t>0031-TCU17</t>
  </si>
  <si>
    <t>SIENNA XLE 2013</t>
  </si>
  <si>
    <t>0032-TCU17</t>
  </si>
  <si>
    <t>AVEO 2014 BLANCO</t>
  </si>
  <si>
    <t>0033-TCU17</t>
  </si>
  <si>
    <t>JETTA STYLE 2014 PLATA</t>
  </si>
  <si>
    <t>0034-TCU17</t>
  </si>
  <si>
    <t>TIIDA SENSE TM 2014</t>
  </si>
  <si>
    <t>0035-TCU17</t>
  </si>
  <si>
    <t>MAZDA 3 S AT 2013 GRIS</t>
  </si>
  <si>
    <t>0036-TCU17</t>
  </si>
  <si>
    <t>AVEO LS AT 2014 PLATA</t>
  </si>
  <si>
    <t>0037-TCU17</t>
  </si>
  <si>
    <t>FJ CRUISER 4X4 5AT 2008 NEGRO</t>
  </si>
  <si>
    <t>0038-TCU17</t>
  </si>
  <si>
    <t>HONDA CR-V EX 2010 ROJO</t>
  </si>
  <si>
    <t>0039-TCU17</t>
  </si>
  <si>
    <t>PRIUS 2011 PLATA</t>
  </si>
  <si>
    <t>0040-TCU17</t>
  </si>
  <si>
    <t>0041-TCU17</t>
  </si>
  <si>
    <t>JETTA STYLE 2014 BLANCO</t>
  </si>
  <si>
    <t>0042-TCU17</t>
  </si>
  <si>
    <t>SUZUKI SX4 GL TM 2014</t>
  </si>
  <si>
    <t>0043-TCU17</t>
  </si>
  <si>
    <t xml:space="preserve">TOYOTA COROLLA S MT 2016 BLANCO </t>
  </si>
  <si>
    <t>ISRAEL TIERRAFRIA</t>
  </si>
  <si>
    <t>0044-TCU17</t>
  </si>
  <si>
    <t>CHEVROLET CRUZE LT 2010 ROJO</t>
  </si>
  <si>
    <t>0045-TCU17</t>
  </si>
  <si>
    <t>0046-TCU17</t>
  </si>
  <si>
    <t>CROSSFOX LT 2011</t>
  </si>
  <si>
    <t>JAVIER ARELLANO</t>
  </si>
  <si>
    <t>0047-TCU17</t>
  </si>
  <si>
    <t>YARIS SD PREMIUM 2013</t>
  </si>
  <si>
    <t>JANITZY SALCEDO</t>
  </si>
  <si>
    <t>0048-TCU17</t>
  </si>
  <si>
    <t>VERSA SENSE TM 2015</t>
  </si>
  <si>
    <t>0049-TCU17</t>
  </si>
  <si>
    <t xml:space="preserve">MINI COOPER S 2012 </t>
  </si>
  <si>
    <t>0050-TCU17</t>
  </si>
  <si>
    <t xml:space="preserve">TOYOTA AVANZA HI 4AT </t>
  </si>
  <si>
    <t>IVAN VEGA</t>
  </si>
  <si>
    <t>0051-TCU17</t>
  </si>
  <si>
    <t>TOYOTA HIGHLANDER XLE 2015 PLATA</t>
  </si>
  <si>
    <t>0052-TCU17</t>
  </si>
  <si>
    <t>SUZUKI GRAND VITARA GL T/A 2014</t>
  </si>
  <si>
    <t>0053-TCU17</t>
  </si>
  <si>
    <t xml:space="preserve">JETTA CLASICO GL TEAM 2013 </t>
  </si>
  <si>
    <t>0054-TCU17</t>
  </si>
  <si>
    <t>CHEVROLET SPARK PAQ C</t>
  </si>
  <si>
    <t>0055-TCU17</t>
  </si>
  <si>
    <t>YARIS SEDAN PREMIUM 2015</t>
  </si>
  <si>
    <t>0056-TCU17</t>
  </si>
  <si>
    <t>CHEVROLET TRAX SUV LT TA 2015</t>
  </si>
  <si>
    <t xml:space="preserve">CECILIA </t>
  </si>
  <si>
    <t>0057-TCU17</t>
  </si>
  <si>
    <t>HYUNDAI IX35 GLS MANUAL 2015</t>
  </si>
  <si>
    <t>0058-TCU17</t>
  </si>
  <si>
    <t>RAM1500 CAB. REG. 2013</t>
  </si>
  <si>
    <t>0059-TCU17</t>
  </si>
  <si>
    <t>CRV- EXL NAVI 2014</t>
  </si>
  <si>
    <t>0060-TCU17</t>
  </si>
  <si>
    <t>NP300 TM DH 2016</t>
  </si>
  <si>
    <t>0061-TCU17</t>
  </si>
  <si>
    <t>GUILLERMO SALMORAN</t>
  </si>
  <si>
    <t>0062-TCU17</t>
  </si>
  <si>
    <t>SPARK PAQ G 2015</t>
  </si>
  <si>
    <t>GUILLERMO ORTEGA</t>
  </si>
  <si>
    <t>0063-TCU17</t>
  </si>
  <si>
    <t>COROLLA LE AT 2015</t>
  </si>
  <si>
    <t>0064-TCU17</t>
  </si>
  <si>
    <t>SIENNA LE 2010</t>
  </si>
  <si>
    <t>0065-TCU17</t>
  </si>
  <si>
    <t>SIENNA XLE 2014</t>
  </si>
  <si>
    <t>0066-TCU17</t>
  </si>
  <si>
    <t>SPARK PAQ C LTZ CLASSIC 2017</t>
  </si>
  <si>
    <t>0067-TCU17</t>
  </si>
  <si>
    <t>AVEO PAQ C LT 2015</t>
  </si>
  <si>
    <t>0068-TCU17</t>
  </si>
  <si>
    <t>0069-TCU17</t>
  </si>
  <si>
    <t>FLUENCE EXPRESSION 2014</t>
  </si>
  <si>
    <t>0070-TCU17</t>
  </si>
  <si>
    <t>AMAROK HIGHLINE 4X4 2014</t>
  </si>
  <si>
    <t>0071-TCU17</t>
  </si>
  <si>
    <t>COLORADO DOBLE CABINA 4X2 2013</t>
  </si>
  <si>
    <t>0072-TCU17</t>
  </si>
  <si>
    <t>FLUENCE EXPRESSION 2.0L 2013</t>
  </si>
  <si>
    <t>0073-TCU17</t>
  </si>
  <si>
    <t>SPARK LTZ EQUIPADO 2015</t>
  </si>
  <si>
    <t>LUIS ALBERTO FLORES</t>
  </si>
  <si>
    <t>0074-TCU17</t>
  </si>
  <si>
    <t>CRUZE LS 4 PTS 2010</t>
  </si>
  <si>
    <t>GUSTAVO PICAZO</t>
  </si>
  <si>
    <t>0075-TCU17</t>
  </si>
  <si>
    <t>PRIUS PREMIUM 2014</t>
  </si>
  <si>
    <t>0076-TCU17</t>
  </si>
  <si>
    <t xml:space="preserve">MATIZ "B" 2013 </t>
  </si>
  <si>
    <t>MIGUEL ANDRADE</t>
  </si>
  <si>
    <t>0077-TCU17</t>
  </si>
  <si>
    <t>FOCUS AMBIENTE 2011</t>
  </si>
  <si>
    <t xml:space="preserve">OSCAR HERNANDEZ </t>
  </si>
  <si>
    <t>0078-TCU17</t>
  </si>
  <si>
    <t>CAPTIVA SPORT "A" 2015</t>
  </si>
  <si>
    <t>0079-TCU17</t>
  </si>
  <si>
    <t xml:space="preserve">           MARCH SENSE T/M 2014</t>
  </si>
  <si>
    <t>0080-TCU17</t>
  </si>
  <si>
    <t>TIIDA SEDAN SENSE 2015</t>
  </si>
  <si>
    <t>CASA / OMAR ROSAS</t>
  </si>
  <si>
    <t>0081-TCU17</t>
  </si>
  <si>
    <t>COROLLA BASE AT 2016 GRIS</t>
  </si>
  <si>
    <t>JUAN CARLOS GUILLEN</t>
  </si>
  <si>
    <t>0082-TCU17</t>
  </si>
  <si>
    <t>ESCAPE S 2014 BLANCO</t>
  </si>
  <si>
    <t>CASA / GUSTAVO PICAZO</t>
  </si>
  <si>
    <t>0083-TCU17</t>
  </si>
  <si>
    <t>COLORADO DOB CAB 2013 BLANCO</t>
  </si>
  <si>
    <t>0084-TCU17</t>
  </si>
  <si>
    <t xml:space="preserve">TOYOTA SIENNA LE 2012 </t>
  </si>
  <si>
    <t>ENRIQUE HERRERA</t>
  </si>
  <si>
    <t>0085-TCU17</t>
  </si>
  <si>
    <t>COROLLA LE 2015 BLANCO</t>
  </si>
  <si>
    <t>0086-TCU17</t>
  </si>
  <si>
    <t>AVANZA HI 5MT 2012 BLANCO</t>
  </si>
  <si>
    <t>DAVID GONZALEZ</t>
  </si>
  <si>
    <t>0087-TCU17</t>
  </si>
  <si>
    <t>SONIC PAQ F LTZ 2015 ROJO TINTO</t>
  </si>
  <si>
    <t>0088-TCU17</t>
  </si>
  <si>
    <t>DUSTER DYNAMIQUE TA 2.0 LT 2013</t>
  </si>
  <si>
    <t>0089-TCU17</t>
  </si>
  <si>
    <t>SIENNA XLE 2012 GRIS OSCURO</t>
  </si>
  <si>
    <t>0090-TCU17</t>
  </si>
  <si>
    <t>JETTA 2.0L AZUL 2016</t>
  </si>
  <si>
    <t>OMAR ROSAS</t>
  </si>
  <si>
    <t>0091-TCU17</t>
  </si>
  <si>
    <t>TOYOTA PRIUS BASE 2015 BLANCO</t>
  </si>
  <si>
    <t>0092-TCU17</t>
  </si>
  <si>
    <t>HILUX SR 2015 PLATA</t>
  </si>
  <si>
    <t>0093-TCU17</t>
  </si>
  <si>
    <t>VOLKSWAGEN GOL CL MOTOR 1.6L 2015</t>
  </si>
  <si>
    <t>0094-TCU17</t>
  </si>
  <si>
    <t>HILUX BASE CON VIDRIOS 2013 BLANCO</t>
  </si>
  <si>
    <t>0095-TCU17</t>
  </si>
  <si>
    <t xml:space="preserve">TOYOTA COROLLA BASE AT 2016 </t>
  </si>
  <si>
    <t>0096-TCU17</t>
  </si>
  <si>
    <t>0097-TCU17</t>
  </si>
  <si>
    <t>0098-TCU17</t>
  </si>
  <si>
    <t>HYUNDAI IX35 GLS AUTOMATICO 2015</t>
  </si>
  <si>
    <t>0099-TCU17</t>
  </si>
  <si>
    <t>0100-TCU17</t>
  </si>
  <si>
    <t>AVEO PAQ E 2012 AZUL METALICO</t>
  </si>
  <si>
    <t>0101-TCU17</t>
  </si>
  <si>
    <t>MARCH ADVANCE TA 2015 PLATA</t>
  </si>
  <si>
    <t>0102-TCU17</t>
  </si>
  <si>
    <t>SENTRA ADVANCE CVT 2016 AZUL</t>
  </si>
  <si>
    <t>LUIS JAVIER ORTIZ</t>
  </si>
  <si>
    <t>CESAR RODRIGUEZ</t>
  </si>
  <si>
    <t>0103-TCU17</t>
  </si>
  <si>
    <t>FIESTA S MT 2015 PLATA</t>
  </si>
  <si>
    <t>0104-TCU17</t>
  </si>
  <si>
    <t>COROLLA BASE AT 2016 SLATE METALLIC</t>
  </si>
  <si>
    <t>0105-TCU17</t>
  </si>
  <si>
    <t>ALTEA XL 2013 ROJO EMOCION</t>
  </si>
  <si>
    <t>RUBEN ALVAREZ</t>
  </si>
  <si>
    <t>0106-TCU17</t>
  </si>
  <si>
    <t>HIGHLANDER PREMIUM 2013 GRIS</t>
  </si>
  <si>
    <t>0107-TCU17</t>
  </si>
  <si>
    <t>SIENNA LIMITED 2011 AZUL</t>
  </si>
  <si>
    <t>0108-TCU17</t>
  </si>
  <si>
    <t>VERSA SENSE AT 2016 BLANCO</t>
  </si>
  <si>
    <t>0109-TCU17</t>
  </si>
  <si>
    <t>FIESTA S M/T 2014 PLATA</t>
  </si>
  <si>
    <t>0110-TCU17</t>
  </si>
  <si>
    <t xml:space="preserve">RAV4 LE 2014 BARCELONA RED </t>
  </si>
  <si>
    <t>0111-TCU17</t>
  </si>
  <si>
    <t>COROLLA LE AT 2014 BLANCO</t>
  </si>
  <si>
    <t>VIRIDIANA CARRANCO</t>
  </si>
  <si>
    <t>0112-TCU17</t>
  </si>
  <si>
    <t>POLO 1.6 L 2015 ROJO FLASH</t>
  </si>
  <si>
    <t>0113-TCU17</t>
  </si>
  <si>
    <t>JETTA EUROPA STD 2010 PLATA</t>
  </si>
  <si>
    <t>0114-TCU17</t>
  </si>
  <si>
    <t>COLORADO 4X2 2013 BLANCO</t>
  </si>
  <si>
    <t>0115-TCU17</t>
  </si>
  <si>
    <t>COLORADO 4X4 2015 BLANCO</t>
  </si>
  <si>
    <t>0116-TCU17</t>
  </si>
  <si>
    <t>CAMRY SE V6 2015 PLATA</t>
  </si>
  <si>
    <t>PEDRO MARTINEZ</t>
  </si>
  <si>
    <t>0117-TCU17</t>
  </si>
  <si>
    <t>JETTA CLASICO 2011 GRIS PLATINO METAL</t>
  </si>
  <si>
    <t>0118-TCU17</t>
  </si>
  <si>
    <t>HIGHLANDER XLE 2016 BLANCO PERLADO</t>
  </si>
  <si>
    <t>0119-TCU17</t>
  </si>
  <si>
    <t>TIIDA DRIVE TM AA 2016 PLATA</t>
  </si>
  <si>
    <t>0120-TCU17</t>
  </si>
  <si>
    <t>0121-TCU17</t>
  </si>
  <si>
    <t>0122-TCU17</t>
  </si>
  <si>
    <t>0123-TCU17</t>
  </si>
  <si>
    <t>0124-TCU17</t>
  </si>
  <si>
    <t>0125-TCU17</t>
  </si>
  <si>
    <t>0126-TCU17</t>
  </si>
  <si>
    <t>0127-TCU17</t>
  </si>
  <si>
    <t>0128-TCU17</t>
  </si>
  <si>
    <t>0129-TCU17</t>
  </si>
  <si>
    <t>0130-TCU17</t>
  </si>
  <si>
    <t>ASESOR DE VENTAS</t>
  </si>
  <si>
    <t>COACH</t>
  </si>
  <si>
    <t>VALUADOR</t>
  </si>
  <si>
    <t>PEND. FAC. ORIG. - N/A RETENCION - S/A CAMBIO DE ROL - S/A PLAN PISO</t>
  </si>
  <si>
    <t>PEND. FAC. ORIGINAL / PAGO SUZUKI/ S/A CAMBIO DE ROL - S/PLAN PISO</t>
  </si>
  <si>
    <t>S/A CAMBIO DE ROL – S/ A PLAN PISO</t>
  </si>
  <si>
    <t>APLICA CAMBIO DE ROL / APLICA PLAN PISO (VENDIDO)</t>
  </si>
  <si>
    <t>FALTAN DOCUMENTOS ORIGINALES (TENENCIAS PAGADAS)</t>
  </si>
  <si>
    <t>PENDIENTE FACTURA ORIGINAL, APLICA CAMBIO DE ROL, APLICA PLAN PISO</t>
  </si>
  <si>
    <t>APLICA CAMBIO DE ROL / APLICA PLAN PISO</t>
  </si>
  <si>
    <t>CAMBIO DE INV. 0047- TCU17</t>
  </si>
  <si>
    <t>APLICA CAMBIO DE ROL / NO APLICA PLAN PISO</t>
  </si>
  <si>
    <t>CAMBIO DE INV. 0072-TCU17</t>
  </si>
  <si>
    <t>PENDIENTES DOCUMENTOS ORIGINALES</t>
  </si>
  <si>
    <t>APLICA CAMBIO DE ROL / NO APLICA PLAN PISO / PENDIENTE FACTURA ORIGINAL</t>
  </si>
  <si>
    <t>FALTA DOCUMENTACION ORIGINAL / NO APLICA CAMBIO DE ROL / APLICA PLAN PISO</t>
  </si>
  <si>
    <t xml:space="preserve">  PENDIENTE VERIFICACION - APLICA CAMBIO DE ROL  - NO APLICA PLAN PISO POR VENTA DE UNIDAD</t>
  </si>
  <si>
    <t>NO APLICA PLAN PISO / APLICA CAMBIO DE ROL</t>
  </si>
  <si>
    <t xml:space="preserve">APLICA CAMBIO DE ROL / APLICA PLAN PISO </t>
  </si>
  <si>
    <t xml:space="preserve">NO APLICA CAMBIO DE ROL / APLICA PLAN PISO </t>
  </si>
  <si>
    <t>PENDIENTE FACTURA ORIGINAL / APLICA PLAN PISO / APLICA CAMBIO DE ROL</t>
  </si>
  <si>
    <t>NO APLICA CAMBIO DE ROL / NO APLICA PLAN PISO</t>
  </si>
  <si>
    <t>NO APLICA CAMBIO DE ROL / APLICA PLAN PISO</t>
  </si>
  <si>
    <t>PENDIENTE FACTURA ORIGINAL / NO APLICA CAMBIO DE ROL /  APLICA PLAN PISO</t>
  </si>
  <si>
    <t>PENDIENTE FACTURA ORIGINAL / APLICA PLAN PISO / NO APLICA CAMBIO DE ROL</t>
  </si>
  <si>
    <t>PENDIENTE ENDOSO DE FACTURA / APLICA CAMBIO DE ROL / APLICA PLAN PISO</t>
  </si>
  <si>
    <t>PENDIENTE FACTURA ORIGINAL / APLICA CAMBIO DE ROL / APLICA PLAN PISO</t>
  </si>
  <si>
    <t>DOCUMENTACION  ORIGINAL PENDIENTE / NO APLICA CAMBIO DE ROL / APLICA PLAN PISO</t>
  </si>
  <si>
    <t>NO APLICA CAMIBO DE ROL / NO APLICA PLAN PISO / PENDINENTE FACTURA ORIGINAL</t>
  </si>
  <si>
    <t>APLICA PLAN PISO / NO APLICA CAMBIO DE ROL</t>
  </si>
  <si>
    <t>FALTA CERTIFICACION DE TENENCIAS (TRAMITE POR AMDA) / APLICA PLAN PISO / NO APLICA CAMBIO DE ROL</t>
  </si>
  <si>
    <t>APLICA PLAN PISO / APLICA CAMBIO DE ROL</t>
  </si>
  <si>
    <t>PENDIENTE FACTURA ORIGINAL  /FALTA DOCUMENTAICON ORIGINAL / NO APLICA CAMBIO DE ROL / NO APLICA PLAN PISO POR VENTA</t>
  </si>
  <si>
    <t>PENDIENTE DOCUMENTOS ORIGINALES / NO APLICA CAMIO DE ROL / APLICA PLAN PISO</t>
  </si>
  <si>
    <t xml:space="preserve">   NO APLICA CAMBIO DE ROL / APLICA PLAN PISO</t>
  </si>
  <si>
    <t>NO APLICA CAMBIO DE ROL / APLICA PLAN PISO / PENDIENTE BAJA Y CERTIFICACION DE TENENCIAS / UNIDAD UTILITARIA</t>
  </si>
  <si>
    <t>NO APLICA CAMBIO DE ROL / APLICA PLAN PISO / PENDIENTE FACTURA ORIGINAL TFS</t>
  </si>
  <si>
    <t>PENDIENTE DOCUMENTOS ORIGINALES / APLICA CAMIO DE ROL / APLICA PLAN PISO</t>
  </si>
  <si>
    <t>DOCUMENTACION ORIGINAL PENDIENTE /NO APLICA CAMBIO DE ROL / APLICA PLAN PISO</t>
  </si>
  <si>
    <t>PENDIENTE CERTIFICACION DE TENENCIAS POR AMDA / NO APLICA CAMBIO DE ROL / APLICA PLAN PISO</t>
  </si>
  <si>
    <t>PENTIENTE FACTURA TFS / APLICA CAMBIO DE ROL / APLICA PLAN PISO</t>
  </si>
  <si>
    <t xml:space="preserve">PENDIENTE DOCUMENTACION / APLICA PLAN PISO / NO APLICA CAMBIO DE ROL </t>
  </si>
  <si>
    <t>PENDIENTE BAJA / CERTIFICACION DE TENENCIAS / NO APLICA CAMBIO DE ROL / APLICA PLAN PISO</t>
  </si>
  <si>
    <t>PENDIENTE FACTURA TFS / NO APLICA CAMBIO DE ROL / APLICA PLAN PISO</t>
  </si>
  <si>
    <t>PENDIENTE FACTURA ORIGINAL / APLICA CAMBIO DE ROL / NO APLICA PLAN PISO</t>
  </si>
  <si>
    <t xml:space="preserve">COMPRA DE AUTOS USADOS </t>
  </si>
  <si>
    <t>ALECSA CELAYA S DE RL DE CV.</t>
  </si>
  <si>
    <t>INVENTARIO  CANCELADO</t>
  </si>
  <si>
    <t>CAMBIO DE INV. 0079-TCU17</t>
  </si>
  <si>
    <t>RAV4 L4 AWD LIMITED 2014 NEGRO</t>
  </si>
  <si>
    <t>INVENTARIO</t>
  </si>
  <si>
    <t>0131-TCU17</t>
  </si>
  <si>
    <t>0132-TCU17</t>
  </si>
  <si>
    <t>0133-TCU17</t>
  </si>
  <si>
    <t>0134-TCU17</t>
  </si>
  <si>
    <t>0135-TCU17</t>
  </si>
  <si>
    <t>0136-TCU17</t>
  </si>
  <si>
    <t>0137-TCU17</t>
  </si>
  <si>
    <t>0138-TCU17</t>
  </si>
  <si>
    <t>0139-TCU17</t>
  </si>
  <si>
    <t>0140-TCU17</t>
  </si>
  <si>
    <t>0141-TCU17</t>
  </si>
  <si>
    <t>0142-TCU17</t>
  </si>
  <si>
    <t>0143-TCU17</t>
  </si>
  <si>
    <t>0145-TCU17</t>
  </si>
  <si>
    <t>0144-TCU17</t>
  </si>
  <si>
    <t>0146-TCU17</t>
  </si>
  <si>
    <t>0147-TCU17</t>
  </si>
  <si>
    <t>0148-TCU17</t>
  </si>
  <si>
    <t>0149-TCU17</t>
  </si>
  <si>
    <t>0150-TCU17</t>
  </si>
  <si>
    <t>YARIS R XLE AT 2016 GRIS</t>
  </si>
  <si>
    <t>EXPLORER FWD 4DR LTD 2013 GRIS</t>
  </si>
  <si>
    <t>FALTAN BAJAS Y CERTIFICACION DE TENENCIAS ORIGINAL / FALTA FACTURA ORIGINAL  / APLICA CAMBIO DE ROL / APLICA PLAN PISO</t>
  </si>
  <si>
    <t>FJ CRUISER PREMIUM 2008 BLANCO / AZUL</t>
  </si>
  <si>
    <t xml:space="preserve">DUSTER DYNAMIQUE TA 2.0LT 2013 </t>
  </si>
  <si>
    <t>RICARDO RAMIREZ</t>
  </si>
  <si>
    <t>YARIS HB PREMIUM 2014 ROJO</t>
  </si>
  <si>
    <t>PENDIENTE DOCUMENTACION ORIGINAL / APLICA CAMBIO DE ROL / APLICA PLAN PISO</t>
  </si>
  <si>
    <t>JETTA CLASICO 2015 ROJO</t>
  </si>
  <si>
    <t>SIENNA XLE AT V6 2015</t>
  </si>
  <si>
    <t>PENDIENTE BAJA Y CERTIFICACION DE TENENCIAS ( SE HARA CON GESTOR) /APLICA CAMBIO DE ROL / APLICA PLAN PISO</t>
  </si>
  <si>
    <t>DUSTER DYNAMIQUE PACK 2.0 LT 2014</t>
  </si>
  <si>
    <t>TIIDA SENSE TA AA 2015 ROJO</t>
  </si>
  <si>
    <t>0151-TCU17</t>
  </si>
  <si>
    <t>0152-TCU17</t>
  </si>
  <si>
    <t>0153-TCU17</t>
  </si>
  <si>
    <t>0154-TCU17</t>
  </si>
  <si>
    <t>0155-TCU17</t>
  </si>
  <si>
    <t>0156-TCU17</t>
  </si>
  <si>
    <t>0157-TCU17</t>
  </si>
  <si>
    <t>0158-TCU17</t>
  </si>
  <si>
    <t>0159-TCU17</t>
  </si>
  <si>
    <t>0160-TCU17</t>
  </si>
  <si>
    <t>0161-TCU17</t>
  </si>
  <si>
    <t>0162-TCU17</t>
  </si>
  <si>
    <t>0163-TCU17</t>
  </si>
  <si>
    <t>0164-TCU17</t>
  </si>
  <si>
    <t>0165-TCU17</t>
  </si>
  <si>
    <t>0166-TCU17</t>
  </si>
  <si>
    <t>0167-TCU17</t>
  </si>
  <si>
    <t>0168-TCU17</t>
  </si>
  <si>
    <t>0169-TCU17</t>
  </si>
  <si>
    <t>0170-TCU17</t>
  </si>
  <si>
    <t>0171-TCU17</t>
  </si>
  <si>
    <t>0172-TCU17</t>
  </si>
  <si>
    <t>0173-TCU17</t>
  </si>
  <si>
    <t>0174-TCU17</t>
  </si>
  <si>
    <t>0175-TCU17</t>
  </si>
  <si>
    <t>0176-TCU17</t>
  </si>
  <si>
    <t>0177-TCU17</t>
  </si>
  <si>
    <t>0178-TCU17</t>
  </si>
  <si>
    <t>0179-TCU17</t>
  </si>
  <si>
    <t>0180-TCU17</t>
  </si>
  <si>
    <t>0181-TCU17</t>
  </si>
  <si>
    <t>0182-TCU17</t>
  </si>
  <si>
    <t>0183-TCU17</t>
  </si>
  <si>
    <t>0184-TCU17</t>
  </si>
  <si>
    <t>0185-TCU17</t>
  </si>
  <si>
    <t>0186-TCU17</t>
  </si>
  <si>
    <t>0187-TCU17</t>
  </si>
  <si>
    <t>0188-TCU17</t>
  </si>
  <si>
    <t>0189-TCU17</t>
  </si>
  <si>
    <t>0190-TCU17</t>
  </si>
  <si>
    <t>0191-TCU17</t>
  </si>
  <si>
    <t>0192-TCU17</t>
  </si>
  <si>
    <t>0193-TCU17</t>
  </si>
  <si>
    <t>0194-TCU17</t>
  </si>
  <si>
    <t>0195-TCU17</t>
  </si>
  <si>
    <t>0196-TCU17</t>
  </si>
  <si>
    <t>0197-TCU17</t>
  </si>
  <si>
    <t>0198-TCU17</t>
  </si>
  <si>
    <t>0199-TCU17</t>
  </si>
  <si>
    <t>0200-TCU17</t>
  </si>
  <si>
    <t xml:space="preserve">AVANZA PREMIUM MT 2016 GRIS </t>
  </si>
  <si>
    <t>YARIS XLE R AT 2016 NEGRO</t>
  </si>
  <si>
    <t>ODYSSEY EX 2015 GRIS HUMO</t>
  </si>
  <si>
    <t>No aplica retenion ya que no excede de los $227,400.00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</si>
</sst>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000"/>
    <numFmt numFmtId="166" formatCode="0.0"/>
    <numFmt numFmtId="167" formatCode="_-* #,##0.0000_-;\-* #,##0.0000_-;_-* &quot;-&quot;??_-;_-@_-"/>
  </numFmts>
  <fonts count="20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rgb="FF2F2F2F"/>
      <name val="Arial"/>
      <family val="2"/>
    </font>
    <font>
      <b/>
      <sz val="10"/>
      <color rgb="FF2F2F2F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44" fontId="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4" fontId="0" fillId="2" borderId="0" xfId="0" applyNumberFormat="1" applyFont="1" applyFill="1"/>
    <xf numFmtId="166" fontId="6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4" fontId="0" fillId="0" borderId="0" xfId="0" applyNumberFormat="1"/>
    <xf numFmtId="164" fontId="0" fillId="0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8" fillId="3" borderId="0" xfId="0" applyFont="1" applyFill="1"/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4" fontId="11" fillId="0" borderId="0" xfId="2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4" fontId="11" fillId="0" borderId="2" xfId="2" applyFont="1" applyFill="1" applyBorder="1" applyAlignment="1" applyProtection="1">
      <alignment horizontal="center" vertical="center" wrapText="1"/>
      <protection locked="0"/>
    </xf>
    <xf numFmtId="43" fontId="11" fillId="0" borderId="2" xfId="1" applyFont="1" applyFill="1" applyBorder="1" applyAlignment="1" applyProtection="1">
      <alignment horizontal="center" vertical="center" wrapText="1"/>
      <protection locked="0"/>
    </xf>
    <xf numFmtId="167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11" fillId="0" borderId="1" xfId="2" applyFont="1" applyFill="1" applyBorder="1" applyAlignment="1" applyProtection="1">
      <alignment horizontal="center" vertical="center" wrapText="1"/>
      <protection locked="0"/>
    </xf>
    <xf numFmtId="43" fontId="11" fillId="0" borderId="1" xfId="1" applyFont="1" applyFill="1" applyBorder="1" applyAlignment="1" applyProtection="1">
      <alignment horizontal="center" vertical="center" wrapText="1"/>
      <protection locked="0"/>
    </xf>
    <xf numFmtId="167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13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1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1" xfId="2" applyFont="1" applyFill="1" applyBorder="1" applyAlignment="1" applyProtection="1">
      <alignment horizontal="center" vertical="center" wrapText="1"/>
      <protection locked="0"/>
    </xf>
    <xf numFmtId="43" fontId="14" fillId="4" borderId="1" xfId="1" applyFont="1" applyFill="1" applyBorder="1" applyAlignment="1" applyProtection="1">
      <alignment horizontal="center" vertical="center" wrapText="1"/>
      <protection locked="0"/>
    </xf>
    <xf numFmtId="167" fontId="1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44" fontId="11" fillId="0" borderId="1" xfId="2" applyFont="1" applyBorder="1" applyAlignment="1" applyProtection="1">
      <alignment horizontal="center" vertical="center" wrapTex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2" fontId="11" fillId="0" borderId="7" xfId="0" applyNumberFormat="1" applyFont="1" applyBorder="1" applyAlignment="1" applyProtection="1">
      <alignment horizontal="center" vertical="center" wrapText="1"/>
      <protection locked="0"/>
    </xf>
    <xf numFmtId="44" fontId="11" fillId="0" borderId="7" xfId="2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5" borderId="10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4" fontId="19" fillId="5" borderId="10" xfId="2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44" fontId="19" fillId="0" borderId="10" xfId="2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3" fontId="18" fillId="0" borderId="0" xfId="1" applyFont="1" applyAlignment="1" applyProtection="1">
      <alignment horizontal="center" vertical="center" wrapText="1"/>
      <protection locked="0"/>
    </xf>
    <xf numFmtId="44" fontId="11" fillId="6" borderId="1" xfId="2" applyFont="1" applyFill="1" applyBorder="1" applyAlignment="1" applyProtection="1">
      <alignment horizontal="center" vertical="center" wrapText="1"/>
      <protection locked="0"/>
    </xf>
    <xf numFmtId="44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2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6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76201</xdr:rowOff>
    </xdr:from>
    <xdr:to>
      <xdr:col>2</xdr:col>
      <xdr:colOff>723899</xdr:colOff>
      <xdr:row>4</xdr:row>
      <xdr:rowOff>2209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13" b="25278"/>
        <a:stretch/>
      </xdr:blipFill>
      <xdr:spPr>
        <a:xfrm>
          <a:off x="800099" y="76201"/>
          <a:ext cx="2428875" cy="6880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 refreshError="1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1" name="Tabla1" displayName="Tabla1" ref="A6:S206" totalsRowShown="0" headerRowDxfId="23" dataDxfId="21" headerRowBorderDxfId="22" tableBorderDxfId="20" totalsRowBorderDxfId="19">
  <autoFilter ref="A6:S206">
    <filterColumn colId="10">
      <filters>
        <filter val="$228,000.00"/>
        <filter val="$230,000.00"/>
        <filter val="$235,000.00"/>
        <filter val="$240,000.00"/>
        <filter val="$255,000.00"/>
        <filter val="$259,000.00"/>
        <filter val="$265,000.00"/>
        <filter val="$265,250.00"/>
        <filter val="$273,000.00"/>
        <filter val="$283,000.00"/>
        <filter val="$284,900.00"/>
        <filter val="$285,000.00"/>
        <filter val="$300,000.00"/>
        <filter val="$307,000.00"/>
        <filter val="$311,750.00"/>
        <filter val="$315,000.00"/>
        <filter val="$367,000.00"/>
        <filter val="$370,000.00"/>
        <filter val="$450,000.00"/>
      </filters>
    </filterColumn>
  </autoFilter>
  <tableColumns count="19">
    <tableColumn id="1" name="INVENTARIO" dataDxfId="18"/>
    <tableColumn id="19" name="VEHICULO" dataDxfId="17"/>
    <tableColumn id="2" name="FECHA DE ADQUISICIÓN" dataDxfId="16"/>
    <tableColumn id="3" name="FECHA DE ENAJENACIÓN" dataDxfId="15"/>
    <tableColumn id="4" name="MESES DE USO" dataDxfId="14">
      <calculatedColumnFormula>(D7-C7)/30</calculatedColumnFormula>
    </tableColumn>
    <tableColumn id="5" name="FACTOR DE DEP. MENS" dataDxfId="13"/>
    <tableColumn id="6" name="VALOR FACTURA" dataDxfId="12" dataCellStyle="Moneda"/>
    <tableColumn id="7" name="COSTO SIN ACTUALIZ" dataDxfId="11" dataCellStyle="Millares"/>
    <tableColumn id="8" name="FACTOR DE ACT" dataDxfId="10" dataCellStyle="Millares"/>
    <tableColumn id="9" name="COSTO ACTUALIZADO" dataDxfId="9" dataCellStyle="Millares"/>
    <tableColumn id="10" name="PRECIO COMPRA" dataDxfId="8" dataCellStyle="Moneda"/>
    <tableColumn id="11" name="DIFERENCIA" dataDxfId="7" dataCellStyle="Moneda"/>
    <tableColumn id="12" name="EXCENCION" dataDxfId="6" dataCellStyle="Millares"/>
    <tableColumn id="13" name="BASE P/RETENCION" dataDxfId="5" dataCellStyle="Millares"/>
    <tableColumn id="14" name="ISR" dataDxfId="4" dataCellStyle="Millares"/>
    <tableColumn id="15" name="ASESOR DE VENTAS" dataDxfId="3"/>
    <tableColumn id="16" name="COACH" dataDxfId="2"/>
    <tableColumn id="17" name="VALUADOR" dataDxfId="1"/>
    <tableColumn id="18" name="COMENTARI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6"/>
  <sheetViews>
    <sheetView tabSelected="1" zoomScaleNormal="100" workbookViewId="0">
      <pane xSplit="1" ySplit="6" topLeftCell="E7" activePane="bottomRight" state="frozen"/>
      <selection pane="topRight" activeCell="B1" sqref="B1"/>
      <selection pane="bottomLeft" activeCell="A6" sqref="A6"/>
      <selection pane="bottomRight" activeCell="M49" sqref="M49"/>
    </sheetView>
  </sheetViews>
  <sheetFormatPr baseColWidth="10" defaultRowHeight="12.75" x14ac:dyDescent="0.2"/>
  <cols>
    <col min="1" max="1" width="11.140625" style="32" customWidth="1"/>
    <col min="2" max="2" width="26.42578125" style="30" customWidth="1"/>
    <col min="3" max="3" width="11.5703125" style="30" customWidth="1"/>
    <col min="4" max="4" width="12.5703125" style="30" customWidth="1"/>
    <col min="5" max="5" width="8.28515625" style="30" customWidth="1"/>
    <col min="6" max="6" width="9.85546875" style="30" customWidth="1"/>
    <col min="7" max="7" width="12.7109375" style="31" bestFit="1" customWidth="1"/>
    <col min="8" max="8" width="11.42578125" style="30" customWidth="1"/>
    <col min="9" max="9" width="9.28515625" style="30" customWidth="1"/>
    <col min="10" max="10" width="11.85546875" style="30" customWidth="1" collapsed="1"/>
    <col min="11" max="11" width="12" style="31" customWidth="1"/>
    <col min="12" max="12" width="12.28515625" style="31" customWidth="1"/>
    <col min="13" max="13" width="10.85546875" style="30" customWidth="1"/>
    <col min="14" max="14" width="12.5703125" style="30" customWidth="1"/>
    <col min="15" max="15" width="10" style="32" bestFit="1" customWidth="1"/>
    <col min="16" max="16" width="17.42578125" style="30" customWidth="1"/>
    <col min="17" max="17" width="17.85546875" style="30" bestFit="1" customWidth="1"/>
    <col min="18" max="18" width="14.85546875" style="30" customWidth="1"/>
    <col min="19" max="19" width="57.5703125" style="30" customWidth="1"/>
    <col min="20" max="24" width="11.42578125" style="30" customWidth="1"/>
    <col min="25" max="16384" width="11.42578125" style="30"/>
  </cols>
  <sheetData>
    <row r="1" spans="1:19" x14ac:dyDescent="0.2">
      <c r="A1" s="93"/>
      <c r="B1" s="93"/>
      <c r="C1" s="93"/>
    </row>
    <row r="2" spans="1:19" x14ac:dyDescent="0.2">
      <c r="A2" s="93"/>
      <c r="B2" s="93"/>
      <c r="C2" s="93"/>
    </row>
    <row r="3" spans="1:19" ht="18.75" x14ac:dyDescent="0.2">
      <c r="A3" s="93"/>
      <c r="B3" s="93"/>
      <c r="C3" s="93"/>
      <c r="D3" s="95" t="s">
        <v>355</v>
      </c>
      <c r="E3" s="95"/>
      <c r="F3" s="95"/>
      <c r="G3" s="95"/>
      <c r="L3" s="97">
        <f>80.04*365*3</f>
        <v>87643.8</v>
      </c>
      <c r="M3" s="97"/>
      <c r="N3" s="92" t="s">
        <v>29</v>
      </c>
      <c r="O3" s="92"/>
      <c r="P3" s="92"/>
      <c r="Q3" s="92"/>
      <c r="R3" s="45"/>
      <c r="S3" s="100" t="s">
        <v>446</v>
      </c>
    </row>
    <row r="4" spans="1:19" ht="15.95" customHeight="1" x14ac:dyDescent="0.2">
      <c r="A4" s="93"/>
      <c r="B4" s="93"/>
      <c r="C4" s="93"/>
      <c r="D4" s="95" t="s">
        <v>354</v>
      </c>
      <c r="E4" s="95"/>
      <c r="F4" s="95"/>
      <c r="G4" s="95"/>
      <c r="H4" s="96" t="s">
        <v>30</v>
      </c>
      <c r="I4" s="96"/>
      <c r="J4" s="96"/>
      <c r="K4" s="96"/>
    </row>
    <row r="5" spans="1:19" ht="15.95" customHeight="1" thickBot="1" x14ac:dyDescent="0.25">
      <c r="A5" s="94"/>
      <c r="B5" s="94"/>
      <c r="C5" s="94"/>
      <c r="E5" s="33"/>
    </row>
    <row r="6" spans="1:19" s="91" customFormat="1" ht="45.75" customHeight="1" thickBot="1" x14ac:dyDescent="0.25">
      <c r="A6" s="83" t="s">
        <v>359</v>
      </c>
      <c r="B6" s="84" t="s">
        <v>0</v>
      </c>
      <c r="C6" s="85" t="s">
        <v>1</v>
      </c>
      <c r="D6" s="85" t="s">
        <v>2</v>
      </c>
      <c r="E6" s="86" t="s">
        <v>3</v>
      </c>
      <c r="F6" s="86" t="s">
        <v>4</v>
      </c>
      <c r="G6" s="87" t="s">
        <v>5</v>
      </c>
      <c r="H6" s="88" t="s">
        <v>23</v>
      </c>
      <c r="I6" s="85" t="s">
        <v>22</v>
      </c>
      <c r="J6" s="88" t="s">
        <v>25</v>
      </c>
      <c r="K6" s="87" t="s">
        <v>6</v>
      </c>
      <c r="L6" s="89" t="s">
        <v>24</v>
      </c>
      <c r="M6" s="88" t="s">
        <v>26</v>
      </c>
      <c r="N6" s="86" t="s">
        <v>27</v>
      </c>
      <c r="O6" s="86" t="s">
        <v>28</v>
      </c>
      <c r="P6" s="86" t="s">
        <v>309</v>
      </c>
      <c r="Q6" s="86" t="s">
        <v>310</v>
      </c>
      <c r="R6" s="86" t="s">
        <v>311</v>
      </c>
      <c r="S6" s="90" t="s">
        <v>7</v>
      </c>
    </row>
    <row r="7" spans="1:19" s="45" customFormat="1" ht="25.5" hidden="1" x14ac:dyDescent="0.2">
      <c r="A7" s="34" t="s">
        <v>31</v>
      </c>
      <c r="B7" s="35" t="s">
        <v>32</v>
      </c>
      <c r="C7" s="36">
        <v>41290</v>
      </c>
      <c r="D7" s="37">
        <v>42739</v>
      </c>
      <c r="E7" s="38">
        <f t="shared" ref="E7:E38" si="0">(D7-C7)/30</f>
        <v>48.3</v>
      </c>
      <c r="F7" s="39">
        <f t="shared" ref="F7:F130" si="1">0.2/12</f>
        <v>1.6666666666666666E-2</v>
      </c>
      <c r="G7" s="40">
        <v>165000</v>
      </c>
      <c r="H7" s="41">
        <f>G7-(G7*F7*E7)</f>
        <v>32175</v>
      </c>
      <c r="I7" s="42">
        <f>INDICES!N49/INDICES!C47</f>
        <v>1.0889738233856274</v>
      </c>
      <c r="J7" s="41">
        <f>+H7*I7</f>
        <v>35037.732767432564</v>
      </c>
      <c r="K7" s="40">
        <v>98000</v>
      </c>
      <c r="L7" s="40">
        <f t="shared" ref="L7:L29" si="2">+K7-J7</f>
        <v>62962.267232567436</v>
      </c>
      <c r="M7" s="41">
        <f>+L3</f>
        <v>87643.8</v>
      </c>
      <c r="N7" s="41">
        <f t="shared" ref="N7:N29" si="3">+L7-M7</f>
        <v>-24681.532767432567</v>
      </c>
      <c r="O7" s="43">
        <f t="shared" ref="O7:O130" si="4">IF(N7&gt;1,N7*0.2,0)</f>
        <v>0</v>
      </c>
      <c r="P7" s="29" t="s">
        <v>33</v>
      </c>
      <c r="Q7" s="29" t="s">
        <v>34</v>
      </c>
      <c r="R7" s="29" t="s">
        <v>35</v>
      </c>
      <c r="S7" s="44" t="s">
        <v>312</v>
      </c>
    </row>
    <row r="8" spans="1:19" ht="25.5" hidden="1" x14ac:dyDescent="0.2">
      <c r="A8" s="34" t="s">
        <v>36</v>
      </c>
      <c r="B8" s="35" t="s">
        <v>37</v>
      </c>
      <c r="C8" s="36">
        <v>42124</v>
      </c>
      <c r="D8" s="37">
        <v>42739</v>
      </c>
      <c r="E8" s="38">
        <f t="shared" si="0"/>
        <v>20.5</v>
      </c>
      <c r="F8" s="46">
        <f t="shared" si="1"/>
        <v>1.6666666666666666E-2</v>
      </c>
      <c r="G8" s="47">
        <v>174000</v>
      </c>
      <c r="H8" s="48">
        <f t="shared" ref="H8:H29" si="5">G8-(G8*F8*E8)</f>
        <v>114550</v>
      </c>
      <c r="I8" s="49">
        <f>INDICES!B50/INDICES!B45</f>
        <v>1.1831368118125367</v>
      </c>
      <c r="J8" s="48">
        <f t="shared" ref="J8:J29" si="6">+H8*I8</f>
        <v>135528.32179312609</v>
      </c>
      <c r="K8" s="47">
        <v>118000</v>
      </c>
      <c r="L8" s="47">
        <f t="shared" si="2"/>
        <v>-17528.321793126088</v>
      </c>
      <c r="M8" s="48">
        <f>+L3</f>
        <v>87643.8</v>
      </c>
      <c r="N8" s="48">
        <f t="shared" si="3"/>
        <v>-105172.12179312609</v>
      </c>
      <c r="O8" s="50">
        <f t="shared" si="4"/>
        <v>0</v>
      </c>
      <c r="P8" s="35" t="s">
        <v>38</v>
      </c>
      <c r="Q8" s="35" t="s">
        <v>34</v>
      </c>
      <c r="R8" s="35" t="s">
        <v>35</v>
      </c>
      <c r="S8" s="51" t="s">
        <v>313</v>
      </c>
    </row>
    <row r="9" spans="1:19" hidden="1" x14ac:dyDescent="0.2">
      <c r="A9" s="34" t="s">
        <v>39</v>
      </c>
      <c r="B9" s="35" t="s">
        <v>40</v>
      </c>
      <c r="C9" s="36">
        <v>42508</v>
      </c>
      <c r="D9" s="37">
        <v>42744</v>
      </c>
      <c r="E9" s="38">
        <f t="shared" si="0"/>
        <v>7.8666666666666663</v>
      </c>
      <c r="F9" s="46">
        <f t="shared" si="1"/>
        <v>1.6666666666666666E-2</v>
      </c>
      <c r="G9" s="47">
        <v>218200</v>
      </c>
      <c r="H9" s="48">
        <f t="shared" si="5"/>
        <v>189591.55555555556</v>
      </c>
      <c r="I9" s="49">
        <f>INDICES!B50/INDICES!L43</f>
        <v>1.244293236892601</v>
      </c>
      <c r="J9" s="48">
        <f t="shared" si="6"/>
        <v>235907.49034972562</v>
      </c>
      <c r="K9" s="47">
        <v>173000</v>
      </c>
      <c r="L9" s="47">
        <f t="shared" si="2"/>
        <v>-62907.490349725616</v>
      </c>
      <c r="M9" s="48">
        <f>+L3</f>
        <v>87643.8</v>
      </c>
      <c r="N9" s="48">
        <f t="shared" si="3"/>
        <v>-150551.29034972563</v>
      </c>
      <c r="O9" s="50">
        <f t="shared" si="4"/>
        <v>0</v>
      </c>
      <c r="P9" s="52" t="s">
        <v>38</v>
      </c>
      <c r="Q9" s="35" t="s">
        <v>34</v>
      </c>
      <c r="R9" s="35" t="s">
        <v>35</v>
      </c>
      <c r="S9" s="51"/>
    </row>
    <row r="10" spans="1:19" ht="25.5" x14ac:dyDescent="0.2">
      <c r="A10" s="34" t="s">
        <v>41</v>
      </c>
      <c r="B10" s="53" t="s">
        <v>42</v>
      </c>
      <c r="C10" s="36">
        <v>42531</v>
      </c>
      <c r="D10" s="37">
        <v>42757</v>
      </c>
      <c r="E10" s="38">
        <f t="shared" si="0"/>
        <v>7.5333333333333332</v>
      </c>
      <c r="F10" s="46">
        <f t="shared" si="1"/>
        <v>1.6666666666666666E-2</v>
      </c>
      <c r="G10" s="47">
        <v>332800</v>
      </c>
      <c r="H10" s="48">
        <f t="shared" si="5"/>
        <v>291015.11111111112</v>
      </c>
      <c r="I10" s="49">
        <f>INDICES!B50/INDICES!J46</f>
        <v>1.1248370333645494</v>
      </c>
      <c r="J10" s="48">
        <f t="shared" si="6"/>
        <v>327344.57424647699</v>
      </c>
      <c r="K10" s="99">
        <v>240000</v>
      </c>
      <c r="L10" s="47">
        <f t="shared" si="2"/>
        <v>-87344.574246476986</v>
      </c>
      <c r="M10" s="48">
        <f>+L3</f>
        <v>87643.8</v>
      </c>
      <c r="N10" s="48">
        <f t="shared" si="3"/>
        <v>-174988.37424647697</v>
      </c>
      <c r="O10" s="50">
        <f t="shared" si="4"/>
        <v>0</v>
      </c>
      <c r="P10" s="35" t="s">
        <v>43</v>
      </c>
      <c r="Q10" s="35" t="s">
        <v>44</v>
      </c>
      <c r="R10" s="35" t="s">
        <v>35</v>
      </c>
      <c r="S10" s="51" t="s">
        <v>312</v>
      </c>
    </row>
    <row r="11" spans="1:19" s="45" customFormat="1" ht="25.5" x14ac:dyDescent="0.2">
      <c r="A11" s="54" t="s">
        <v>45</v>
      </c>
      <c r="B11" s="55" t="s">
        <v>46</v>
      </c>
      <c r="C11" s="56">
        <v>42548</v>
      </c>
      <c r="D11" s="57">
        <v>42744</v>
      </c>
      <c r="E11" s="38">
        <f t="shared" si="0"/>
        <v>6.5333333333333332</v>
      </c>
      <c r="F11" s="46">
        <f t="shared" si="1"/>
        <v>1.6666666666666666E-2</v>
      </c>
      <c r="G11" s="47">
        <v>286700</v>
      </c>
      <c r="H11" s="48">
        <f t="shared" si="5"/>
        <v>255481.55555555556</v>
      </c>
      <c r="I11" s="49">
        <f>INDICES!B50/INDICES!H48</f>
        <v>1.0565463357422515</v>
      </c>
      <c r="J11" s="48">
        <f t="shared" si="6"/>
        <v>269928.10137195268</v>
      </c>
      <c r="K11" s="99">
        <v>230000</v>
      </c>
      <c r="L11" s="47">
        <f t="shared" si="2"/>
        <v>-39928.101371952682</v>
      </c>
      <c r="M11" s="48">
        <f>+L3</f>
        <v>87643.8</v>
      </c>
      <c r="N11" s="48">
        <f t="shared" si="3"/>
        <v>-127571.90137195268</v>
      </c>
      <c r="O11" s="50">
        <f t="shared" si="4"/>
        <v>0</v>
      </c>
      <c r="P11" s="52" t="s">
        <v>47</v>
      </c>
      <c r="Q11" s="52" t="s">
        <v>48</v>
      </c>
      <c r="R11" s="52" t="s">
        <v>35</v>
      </c>
      <c r="S11" s="58" t="s">
        <v>312</v>
      </c>
    </row>
    <row r="12" spans="1:19" s="45" customFormat="1" hidden="1" x14ac:dyDescent="0.2">
      <c r="A12" s="54" t="s">
        <v>49</v>
      </c>
      <c r="B12" s="55" t="s">
        <v>50</v>
      </c>
      <c r="C12" s="56">
        <v>41906</v>
      </c>
      <c r="D12" s="57">
        <v>42752</v>
      </c>
      <c r="E12" s="38">
        <f t="shared" si="0"/>
        <v>28.2</v>
      </c>
      <c r="F12" s="46">
        <f t="shared" si="1"/>
        <v>1.6666666666666666E-2</v>
      </c>
      <c r="G12" s="47">
        <v>258300</v>
      </c>
      <c r="H12" s="48">
        <f t="shared" si="5"/>
        <v>136899</v>
      </c>
      <c r="I12" s="49">
        <f>INDICES!B50/INDICES!N48</f>
        <v>1.0336027401883037</v>
      </c>
      <c r="J12" s="48">
        <f t="shared" si="6"/>
        <v>141499.18152903859</v>
      </c>
      <c r="K12" s="47">
        <v>163000</v>
      </c>
      <c r="L12" s="47">
        <f t="shared" si="2"/>
        <v>21500.818470961414</v>
      </c>
      <c r="M12" s="48">
        <f>+L3</f>
        <v>87643.8</v>
      </c>
      <c r="N12" s="48">
        <f t="shared" si="3"/>
        <v>-66142.981529038589</v>
      </c>
      <c r="O12" s="50">
        <f t="shared" si="4"/>
        <v>0</v>
      </c>
      <c r="P12" s="52" t="s">
        <v>38</v>
      </c>
      <c r="Q12" s="52" t="s">
        <v>34</v>
      </c>
      <c r="R12" s="52" t="s">
        <v>35</v>
      </c>
      <c r="S12" s="58" t="s">
        <v>314</v>
      </c>
    </row>
    <row r="13" spans="1:19" s="45" customFormat="1" hidden="1" x14ac:dyDescent="0.2">
      <c r="A13" s="54" t="s">
        <v>51</v>
      </c>
      <c r="B13" s="55" t="s">
        <v>52</v>
      </c>
      <c r="C13" s="56">
        <v>41148</v>
      </c>
      <c r="D13" s="57">
        <v>42754</v>
      </c>
      <c r="E13" s="38">
        <f t="shared" si="0"/>
        <v>53.533333333333331</v>
      </c>
      <c r="F13" s="46">
        <f t="shared" si="1"/>
        <v>1.6666666666666666E-2</v>
      </c>
      <c r="G13" s="47">
        <v>200000</v>
      </c>
      <c r="H13" s="48">
        <f t="shared" si="5"/>
        <v>21555.555555555562</v>
      </c>
      <c r="I13" s="49">
        <f>INDICES!B50/INDICES!N45</f>
        <v>1.1423736083397051</v>
      </c>
      <c r="J13" s="48">
        <f t="shared" si="6"/>
        <v>24624.497779766985</v>
      </c>
      <c r="K13" s="47">
        <v>105000</v>
      </c>
      <c r="L13" s="47">
        <f t="shared" si="2"/>
        <v>80375.502220233015</v>
      </c>
      <c r="M13" s="48">
        <f>+L3</f>
        <v>87643.8</v>
      </c>
      <c r="N13" s="48">
        <f t="shared" si="3"/>
        <v>-7268.2977797669882</v>
      </c>
      <c r="O13" s="50">
        <f t="shared" si="4"/>
        <v>0</v>
      </c>
      <c r="P13" s="52" t="s">
        <v>43</v>
      </c>
      <c r="Q13" s="52" t="s">
        <v>44</v>
      </c>
      <c r="R13" s="52" t="s">
        <v>35</v>
      </c>
      <c r="S13" s="58" t="s">
        <v>315</v>
      </c>
    </row>
    <row r="14" spans="1:19" s="45" customFormat="1" hidden="1" x14ac:dyDescent="0.2">
      <c r="A14" s="54" t="s">
        <v>53</v>
      </c>
      <c r="B14" s="55" t="s">
        <v>54</v>
      </c>
      <c r="C14" s="56">
        <v>41597</v>
      </c>
      <c r="D14" s="56">
        <v>42756</v>
      </c>
      <c r="E14" s="38">
        <f t="shared" si="0"/>
        <v>38.633333333333333</v>
      </c>
      <c r="F14" s="46">
        <f t="shared" si="1"/>
        <v>1.6666666666666666E-2</v>
      </c>
      <c r="G14" s="47">
        <v>289890</v>
      </c>
      <c r="H14" s="48">
        <f t="shared" si="5"/>
        <v>103233.04999999999</v>
      </c>
      <c r="I14" s="49">
        <f>INDICES!B50/INDICES!G48</f>
        <v>1.0583169206316299</v>
      </c>
      <c r="J14" s="48">
        <f t="shared" si="6"/>
        <v>109253.28358341106</v>
      </c>
      <c r="K14" s="47">
        <v>165000</v>
      </c>
      <c r="L14" s="47">
        <f t="shared" si="2"/>
        <v>55746.716416588941</v>
      </c>
      <c r="M14" s="48">
        <f>+L3</f>
        <v>87643.8</v>
      </c>
      <c r="N14" s="48">
        <f t="shared" si="3"/>
        <v>-31897.083583411062</v>
      </c>
      <c r="O14" s="50">
        <f t="shared" si="4"/>
        <v>0</v>
      </c>
      <c r="P14" s="52" t="s">
        <v>43</v>
      </c>
      <c r="Q14" s="52" t="s">
        <v>44</v>
      </c>
      <c r="R14" s="52" t="s">
        <v>35</v>
      </c>
      <c r="S14" s="58"/>
    </row>
    <row r="15" spans="1:19" s="45" customFormat="1" ht="25.5" hidden="1" x14ac:dyDescent="0.2">
      <c r="A15" s="54" t="s">
        <v>55</v>
      </c>
      <c r="B15" s="55" t="s">
        <v>56</v>
      </c>
      <c r="C15" s="56">
        <v>42562</v>
      </c>
      <c r="D15" s="57">
        <v>42758</v>
      </c>
      <c r="E15" s="38">
        <f t="shared" si="0"/>
        <v>6.5333333333333332</v>
      </c>
      <c r="F15" s="46">
        <f t="shared" si="1"/>
        <v>1.6666666666666666E-2</v>
      </c>
      <c r="G15" s="47">
        <v>199900</v>
      </c>
      <c r="H15" s="48">
        <f t="shared" si="5"/>
        <v>178133.11111111112</v>
      </c>
      <c r="I15" s="49">
        <f>INDICES!B50/INDICES!F48</f>
        <v>1.0530319308951825</v>
      </c>
      <c r="J15" s="48">
        <f t="shared" si="6"/>
        <v>187579.85394969943</v>
      </c>
      <c r="K15" s="47">
        <v>165000</v>
      </c>
      <c r="L15" s="47">
        <f t="shared" si="2"/>
        <v>-22579.853949699434</v>
      </c>
      <c r="M15" s="48">
        <f>+L3</f>
        <v>87643.8</v>
      </c>
      <c r="N15" s="48">
        <f t="shared" si="3"/>
        <v>-110223.65394969944</v>
      </c>
      <c r="O15" s="50">
        <f t="shared" si="4"/>
        <v>0</v>
      </c>
      <c r="P15" s="52" t="s">
        <v>57</v>
      </c>
      <c r="Q15" s="52" t="s">
        <v>44</v>
      </c>
      <c r="R15" s="52" t="s">
        <v>35</v>
      </c>
      <c r="S15" s="58" t="s">
        <v>312</v>
      </c>
    </row>
    <row r="16" spans="1:19" s="45" customFormat="1" ht="25.5" x14ac:dyDescent="0.2">
      <c r="A16" s="54" t="s">
        <v>58</v>
      </c>
      <c r="B16" s="55" t="s">
        <v>59</v>
      </c>
      <c r="C16" s="56">
        <v>40997</v>
      </c>
      <c r="D16" s="57">
        <v>42759</v>
      </c>
      <c r="E16" s="38">
        <f t="shared" si="0"/>
        <v>58.733333333333334</v>
      </c>
      <c r="F16" s="46">
        <f t="shared" si="1"/>
        <v>1.6666666666666666E-2</v>
      </c>
      <c r="G16" s="47">
        <v>634900</v>
      </c>
      <c r="H16" s="48">
        <f t="shared" si="5"/>
        <v>13403.444444444496</v>
      </c>
      <c r="I16" s="49">
        <f>INDICES!B50/INDICES!F45</f>
        <v>1.175451893924857</v>
      </c>
      <c r="J16" s="48">
        <f t="shared" si="6"/>
        <v>15755.104157338887</v>
      </c>
      <c r="K16" s="99">
        <v>265000</v>
      </c>
      <c r="L16" s="47">
        <f t="shared" si="2"/>
        <v>249244.89584266112</v>
      </c>
      <c r="M16" s="48">
        <f>+L3</f>
        <v>87643.8</v>
      </c>
      <c r="N16" s="48">
        <f t="shared" si="3"/>
        <v>161601.0958426611</v>
      </c>
      <c r="O16" s="50">
        <f t="shared" si="4"/>
        <v>32320.219168532221</v>
      </c>
      <c r="P16" s="52" t="s">
        <v>33</v>
      </c>
      <c r="Q16" s="52" t="s">
        <v>34</v>
      </c>
      <c r="R16" s="52" t="s">
        <v>35</v>
      </c>
      <c r="S16" s="58" t="s">
        <v>312</v>
      </c>
    </row>
    <row r="17" spans="1:19" s="45" customFormat="1" ht="25.5" hidden="1" x14ac:dyDescent="0.2">
      <c r="A17" s="54" t="s">
        <v>60</v>
      </c>
      <c r="B17" s="55" t="s">
        <v>61</v>
      </c>
      <c r="C17" s="56">
        <v>40847</v>
      </c>
      <c r="D17" s="57">
        <v>42759</v>
      </c>
      <c r="E17" s="38">
        <f t="shared" si="0"/>
        <v>63.733333333333334</v>
      </c>
      <c r="F17" s="46">
        <f t="shared" si="1"/>
        <v>1.6666666666666666E-2</v>
      </c>
      <c r="G17" s="47">
        <v>234300</v>
      </c>
      <c r="H17" s="48">
        <f t="shared" si="5"/>
        <v>-14578.666666666657</v>
      </c>
      <c r="I17" s="49">
        <f>INDICES!B50/INDICES!E44</f>
        <v>1.2154627617885454</v>
      </c>
      <c r="J17" s="48">
        <f t="shared" si="6"/>
        <v>-17719.826449861263</v>
      </c>
      <c r="K17" s="98">
        <v>120000</v>
      </c>
      <c r="L17" s="47">
        <f t="shared" si="2"/>
        <v>137719.82644986126</v>
      </c>
      <c r="M17" s="48">
        <f>+L3</f>
        <v>87643.8</v>
      </c>
      <c r="N17" s="48">
        <f t="shared" si="3"/>
        <v>50076.026449861252</v>
      </c>
      <c r="O17" s="50">
        <f t="shared" si="4"/>
        <v>10015.205289972251</v>
      </c>
      <c r="P17" s="52" t="s">
        <v>62</v>
      </c>
      <c r="Q17" s="52" t="s">
        <v>63</v>
      </c>
      <c r="R17" s="52" t="s">
        <v>35</v>
      </c>
      <c r="S17" s="58" t="s">
        <v>312</v>
      </c>
    </row>
    <row r="18" spans="1:19" s="45" customFormat="1" hidden="1" x14ac:dyDescent="0.2">
      <c r="A18" s="54" t="s">
        <v>64</v>
      </c>
      <c r="B18" s="55" t="s">
        <v>65</v>
      </c>
      <c r="C18" s="56">
        <v>40989</v>
      </c>
      <c r="D18" s="57">
        <v>42759</v>
      </c>
      <c r="E18" s="38">
        <f t="shared" si="0"/>
        <v>59</v>
      </c>
      <c r="F18" s="46">
        <f t="shared" si="1"/>
        <v>1.6666666666666666E-2</v>
      </c>
      <c r="G18" s="47">
        <v>137000</v>
      </c>
      <c r="H18" s="48">
        <f t="shared" si="5"/>
        <v>2283.3333333333139</v>
      </c>
      <c r="I18" s="49">
        <f>INDICES!B50/INDICES!D48</f>
        <v>1.0545819202231135</v>
      </c>
      <c r="J18" s="48">
        <f t="shared" si="6"/>
        <v>2407.9620511760886</v>
      </c>
      <c r="K18" s="98">
        <v>96414</v>
      </c>
      <c r="L18" s="47">
        <f t="shared" si="2"/>
        <v>94006.037948823912</v>
      </c>
      <c r="M18" s="48">
        <f>+L3</f>
        <v>87643.8</v>
      </c>
      <c r="N18" s="48">
        <f t="shared" si="3"/>
        <v>6362.2379488239094</v>
      </c>
      <c r="O18" s="50">
        <f t="shared" si="4"/>
        <v>1272.4475897647819</v>
      </c>
      <c r="P18" s="52" t="s">
        <v>66</v>
      </c>
      <c r="Q18" s="52" t="s">
        <v>67</v>
      </c>
      <c r="R18" s="52" t="s">
        <v>35</v>
      </c>
      <c r="S18" s="58" t="s">
        <v>316</v>
      </c>
    </row>
    <row r="19" spans="1:19" s="45" customFormat="1" hidden="1" x14ac:dyDescent="0.2">
      <c r="A19" s="54" t="s">
        <v>68</v>
      </c>
      <c r="B19" s="52" t="s">
        <v>69</v>
      </c>
      <c r="C19" s="56">
        <v>40882</v>
      </c>
      <c r="D19" s="57">
        <v>42759</v>
      </c>
      <c r="E19" s="38">
        <f t="shared" si="0"/>
        <v>62.56666666666667</v>
      </c>
      <c r="F19" s="46">
        <f t="shared" si="1"/>
        <v>1.6666666666666666E-2</v>
      </c>
      <c r="G19" s="47">
        <v>240000</v>
      </c>
      <c r="H19" s="48">
        <f t="shared" si="5"/>
        <v>-10266.666666666686</v>
      </c>
      <c r="I19" s="49">
        <f>INDICES!B50/INDICES!L45</f>
        <v>1.1527785618848678</v>
      </c>
      <c r="J19" s="48">
        <f t="shared" si="6"/>
        <v>-11835.193235351331</v>
      </c>
      <c r="K19" s="98">
        <v>147200</v>
      </c>
      <c r="L19" s="47">
        <f t="shared" si="2"/>
        <v>159035.19323535133</v>
      </c>
      <c r="M19" s="48">
        <f>+L3</f>
        <v>87643.8</v>
      </c>
      <c r="N19" s="48">
        <f t="shared" si="3"/>
        <v>71391.393235351323</v>
      </c>
      <c r="O19" s="50">
        <f t="shared" si="4"/>
        <v>14278.278647070265</v>
      </c>
      <c r="P19" s="52" t="s">
        <v>66</v>
      </c>
      <c r="Q19" s="52" t="s">
        <v>67</v>
      </c>
      <c r="R19" s="52" t="s">
        <v>35</v>
      </c>
      <c r="S19" s="58" t="s">
        <v>316</v>
      </c>
    </row>
    <row r="20" spans="1:19" s="45" customFormat="1" hidden="1" x14ac:dyDescent="0.2">
      <c r="A20" s="59" t="s">
        <v>70</v>
      </c>
      <c r="B20" s="60" t="s">
        <v>71</v>
      </c>
      <c r="C20" s="61"/>
      <c r="D20" s="61"/>
      <c r="E20" s="62">
        <f t="shared" si="0"/>
        <v>0</v>
      </c>
      <c r="F20" s="63">
        <f t="shared" si="1"/>
        <v>1.6666666666666666E-2</v>
      </c>
      <c r="G20" s="64"/>
      <c r="H20" s="65">
        <f t="shared" si="5"/>
        <v>0</v>
      </c>
      <c r="I20" s="66">
        <f>INDICES!B50/INDICES!C49</f>
        <v>1.0297108757774416</v>
      </c>
      <c r="J20" s="65">
        <f t="shared" si="6"/>
        <v>0</v>
      </c>
      <c r="K20" s="64"/>
      <c r="L20" s="64">
        <f t="shared" si="2"/>
        <v>0</v>
      </c>
      <c r="M20" s="65">
        <f>+L3</f>
        <v>87643.8</v>
      </c>
      <c r="N20" s="65">
        <f t="shared" si="3"/>
        <v>-87643.8</v>
      </c>
      <c r="O20" s="65">
        <f t="shared" si="4"/>
        <v>0</v>
      </c>
      <c r="P20" s="59"/>
      <c r="Q20" s="60"/>
      <c r="R20" s="59"/>
      <c r="S20" s="67" t="s">
        <v>71</v>
      </c>
    </row>
    <row r="21" spans="1:19" s="45" customFormat="1" ht="25.5" hidden="1" x14ac:dyDescent="0.2">
      <c r="A21" s="54" t="s">
        <v>72</v>
      </c>
      <c r="B21" s="52" t="s">
        <v>73</v>
      </c>
      <c r="C21" s="56">
        <v>41972</v>
      </c>
      <c r="D21" s="57">
        <v>42761</v>
      </c>
      <c r="E21" s="38">
        <f t="shared" si="0"/>
        <v>26.3</v>
      </c>
      <c r="F21" s="46">
        <f t="shared" si="1"/>
        <v>1.6666666666666666E-2</v>
      </c>
      <c r="G21" s="47">
        <v>289000</v>
      </c>
      <c r="H21" s="48">
        <f t="shared" si="5"/>
        <v>162321.66666666666</v>
      </c>
      <c r="I21" s="49">
        <f>INDICES!B50/INDICES!E49</f>
        <v>1.0236796149764791</v>
      </c>
      <c r="J21" s="48">
        <f t="shared" si="6"/>
        <v>166165.3812356737</v>
      </c>
      <c r="K21" s="47">
        <v>180000</v>
      </c>
      <c r="L21" s="47">
        <f t="shared" si="2"/>
        <v>13834.618764326297</v>
      </c>
      <c r="M21" s="48">
        <f>+L3</f>
        <v>87643.8</v>
      </c>
      <c r="N21" s="48">
        <f t="shared" si="3"/>
        <v>-73809.181235673706</v>
      </c>
      <c r="O21" s="50">
        <f t="shared" si="4"/>
        <v>0</v>
      </c>
      <c r="P21" s="52" t="s">
        <v>74</v>
      </c>
      <c r="Q21" s="52" t="s">
        <v>63</v>
      </c>
      <c r="R21" s="52" t="s">
        <v>35</v>
      </c>
      <c r="S21" s="58" t="s">
        <v>317</v>
      </c>
    </row>
    <row r="22" spans="1:19" s="45" customFormat="1" hidden="1" x14ac:dyDescent="0.2">
      <c r="A22" s="54" t="s">
        <v>75</v>
      </c>
      <c r="B22" s="55" t="s">
        <v>76</v>
      </c>
      <c r="C22" s="56">
        <v>42510</v>
      </c>
      <c r="D22" s="57">
        <v>42762</v>
      </c>
      <c r="E22" s="38">
        <f t="shared" si="0"/>
        <v>8.4</v>
      </c>
      <c r="F22" s="46">
        <f t="shared" si="1"/>
        <v>1.6666666666666666E-2</v>
      </c>
      <c r="G22" s="47">
        <v>232600</v>
      </c>
      <c r="H22" s="48">
        <f t="shared" si="5"/>
        <v>200036</v>
      </c>
      <c r="I22" s="49">
        <f>INDICES!B50/INDICES!H44</f>
        <v>1.224647894363311</v>
      </c>
      <c r="J22" s="48">
        <f t="shared" si="6"/>
        <v>244973.66619685927</v>
      </c>
      <c r="K22" s="47">
        <v>190000</v>
      </c>
      <c r="L22" s="47">
        <f t="shared" si="2"/>
        <v>-54973.666196859267</v>
      </c>
      <c r="M22" s="48">
        <f>+L3</f>
        <v>87643.8</v>
      </c>
      <c r="N22" s="48">
        <f t="shared" si="3"/>
        <v>-142617.46619685926</v>
      </c>
      <c r="O22" s="50">
        <f t="shared" si="4"/>
        <v>0</v>
      </c>
      <c r="P22" s="52" t="s">
        <v>77</v>
      </c>
      <c r="Q22" s="52" t="s">
        <v>67</v>
      </c>
      <c r="R22" s="52" t="s">
        <v>35</v>
      </c>
      <c r="S22" s="58" t="s">
        <v>318</v>
      </c>
    </row>
    <row r="23" spans="1:19" s="45" customFormat="1" ht="25.5" x14ac:dyDescent="0.2">
      <c r="A23" s="54" t="s">
        <v>78</v>
      </c>
      <c r="B23" s="55" t="s">
        <v>46</v>
      </c>
      <c r="C23" s="56">
        <v>42583</v>
      </c>
      <c r="D23" s="57">
        <v>42760</v>
      </c>
      <c r="E23" s="38">
        <f t="shared" si="0"/>
        <v>5.9</v>
      </c>
      <c r="F23" s="46">
        <f t="shared" si="1"/>
        <v>1.6666666666666666E-2</v>
      </c>
      <c r="G23" s="47">
        <v>286700</v>
      </c>
      <c r="H23" s="48">
        <f t="shared" si="5"/>
        <v>258507.83333333334</v>
      </c>
      <c r="I23" s="49">
        <f>INDICES!B50/INDICES!H45</f>
        <v>1.1737626702945065</v>
      </c>
      <c r="J23" s="48">
        <f t="shared" si="6"/>
        <v>303426.84474538057</v>
      </c>
      <c r="K23" s="99">
        <v>235000</v>
      </c>
      <c r="L23" s="47">
        <f t="shared" si="2"/>
        <v>-68426.844745380571</v>
      </c>
      <c r="M23" s="48">
        <f>+L3</f>
        <v>87643.8</v>
      </c>
      <c r="N23" s="48">
        <f t="shared" si="3"/>
        <v>-156070.64474538056</v>
      </c>
      <c r="O23" s="50">
        <f t="shared" si="4"/>
        <v>0</v>
      </c>
      <c r="P23" s="52" t="s">
        <v>79</v>
      </c>
      <c r="Q23" s="52" t="s">
        <v>34</v>
      </c>
      <c r="R23" s="52" t="s">
        <v>35</v>
      </c>
      <c r="S23" s="58" t="s">
        <v>317</v>
      </c>
    </row>
    <row r="24" spans="1:19" s="68" customFormat="1" hidden="1" x14ac:dyDescent="0.2">
      <c r="A24" s="59" t="s">
        <v>80</v>
      </c>
      <c r="B24" s="60" t="s">
        <v>71</v>
      </c>
      <c r="C24" s="61"/>
      <c r="D24" s="61"/>
      <c r="E24" s="62">
        <f t="shared" si="0"/>
        <v>0</v>
      </c>
      <c r="F24" s="63">
        <f t="shared" si="1"/>
        <v>1.6666666666666666E-2</v>
      </c>
      <c r="G24" s="64"/>
      <c r="H24" s="65">
        <f t="shared" si="5"/>
        <v>0</v>
      </c>
      <c r="I24" s="66">
        <f>INDICES!B50/INDICES!M44</f>
        <v>1.1928592987819722</v>
      </c>
      <c r="J24" s="65">
        <f t="shared" si="6"/>
        <v>0</v>
      </c>
      <c r="K24" s="64"/>
      <c r="L24" s="64">
        <f t="shared" si="2"/>
        <v>0</v>
      </c>
      <c r="M24" s="65">
        <f>+L3</f>
        <v>87643.8</v>
      </c>
      <c r="N24" s="65">
        <f t="shared" si="3"/>
        <v>-87643.8</v>
      </c>
      <c r="O24" s="65">
        <f t="shared" si="4"/>
        <v>0</v>
      </c>
      <c r="P24" s="59"/>
      <c r="Q24" s="60"/>
      <c r="R24" s="59"/>
      <c r="S24" s="67" t="s">
        <v>71</v>
      </c>
    </row>
    <row r="25" spans="1:19" s="68" customFormat="1" hidden="1" x14ac:dyDescent="0.2">
      <c r="A25" s="59" t="s">
        <v>81</v>
      </c>
      <c r="B25" s="60" t="s">
        <v>71</v>
      </c>
      <c r="C25" s="61"/>
      <c r="D25" s="61"/>
      <c r="E25" s="62">
        <f t="shared" si="0"/>
        <v>0</v>
      </c>
      <c r="F25" s="63">
        <f t="shared" si="1"/>
        <v>1.6666666666666666E-2</v>
      </c>
      <c r="G25" s="64"/>
      <c r="H25" s="65">
        <f t="shared" si="5"/>
        <v>0</v>
      </c>
      <c r="I25" s="66">
        <f>INDICES!B50/INDICES!E46</f>
        <v>1.1239702023816078</v>
      </c>
      <c r="J25" s="65">
        <f t="shared" si="6"/>
        <v>0</v>
      </c>
      <c r="K25" s="64"/>
      <c r="L25" s="64">
        <f t="shared" si="2"/>
        <v>0</v>
      </c>
      <c r="M25" s="65">
        <f>+L3</f>
        <v>87643.8</v>
      </c>
      <c r="N25" s="65">
        <f t="shared" si="3"/>
        <v>-87643.8</v>
      </c>
      <c r="O25" s="65">
        <f t="shared" si="4"/>
        <v>0</v>
      </c>
      <c r="P25" s="59"/>
      <c r="Q25" s="60"/>
      <c r="R25" s="59"/>
      <c r="S25" s="67" t="s">
        <v>319</v>
      </c>
    </row>
    <row r="26" spans="1:19" s="45" customFormat="1" hidden="1" x14ac:dyDescent="0.2">
      <c r="A26" s="54" t="s">
        <v>82</v>
      </c>
      <c r="B26" s="55" t="s">
        <v>83</v>
      </c>
      <c r="C26" s="56">
        <v>39841</v>
      </c>
      <c r="D26" s="57">
        <v>42761</v>
      </c>
      <c r="E26" s="38">
        <f t="shared" si="0"/>
        <v>97.333333333333329</v>
      </c>
      <c r="F26" s="46">
        <f t="shared" si="1"/>
        <v>1.6666666666666666E-2</v>
      </c>
      <c r="G26" s="47">
        <v>245000</v>
      </c>
      <c r="H26" s="48">
        <f t="shared" si="5"/>
        <v>-152444.44444444444</v>
      </c>
      <c r="I26" s="49">
        <f>INDICES!B50/INDICES!M48</f>
        <v>1.0378141650642518</v>
      </c>
      <c r="J26" s="48">
        <f t="shared" si="6"/>
        <v>-158209.00382979482</v>
      </c>
      <c r="K26" s="98">
        <v>100000</v>
      </c>
      <c r="L26" s="47">
        <f t="shared" si="2"/>
        <v>258209.00382979482</v>
      </c>
      <c r="M26" s="48">
        <f>+L3</f>
        <v>87643.8</v>
      </c>
      <c r="N26" s="48">
        <f t="shared" si="3"/>
        <v>170565.20382979483</v>
      </c>
      <c r="O26" s="50">
        <f t="shared" si="4"/>
        <v>34113.040765958969</v>
      </c>
      <c r="P26" s="52" t="s">
        <v>43</v>
      </c>
      <c r="Q26" s="52" t="s">
        <v>44</v>
      </c>
      <c r="R26" s="52" t="s">
        <v>35</v>
      </c>
      <c r="S26" s="58" t="s">
        <v>320</v>
      </c>
    </row>
    <row r="27" spans="1:19" s="68" customFormat="1" hidden="1" x14ac:dyDescent="0.2">
      <c r="A27" s="59" t="s">
        <v>84</v>
      </c>
      <c r="B27" s="60" t="s">
        <v>71</v>
      </c>
      <c r="C27" s="61"/>
      <c r="D27" s="61"/>
      <c r="E27" s="62">
        <f t="shared" si="0"/>
        <v>0</v>
      </c>
      <c r="F27" s="63">
        <f t="shared" si="1"/>
        <v>1.6666666666666666E-2</v>
      </c>
      <c r="G27" s="64"/>
      <c r="H27" s="65">
        <f t="shared" si="5"/>
        <v>0</v>
      </c>
      <c r="I27" s="66">
        <f>INDICES!B50/INDICES!C45</f>
        <v>1.1748206819838134</v>
      </c>
      <c r="J27" s="65">
        <f t="shared" si="6"/>
        <v>0</v>
      </c>
      <c r="K27" s="64"/>
      <c r="L27" s="64">
        <f t="shared" si="2"/>
        <v>0</v>
      </c>
      <c r="M27" s="65">
        <f>+L3</f>
        <v>87643.8</v>
      </c>
      <c r="N27" s="65">
        <f t="shared" si="3"/>
        <v>-87643.8</v>
      </c>
      <c r="O27" s="65">
        <f t="shared" si="4"/>
        <v>0</v>
      </c>
      <c r="P27" s="59"/>
      <c r="Q27" s="60"/>
      <c r="R27" s="59"/>
      <c r="S27" s="67" t="s">
        <v>321</v>
      </c>
    </row>
    <row r="28" spans="1:19" ht="25.5" x14ac:dyDescent="0.2">
      <c r="A28" s="34" t="s">
        <v>85</v>
      </c>
      <c r="B28" s="53" t="s">
        <v>86</v>
      </c>
      <c r="C28" s="36">
        <v>40834</v>
      </c>
      <c r="D28" s="37">
        <v>42764</v>
      </c>
      <c r="E28" s="38">
        <f t="shared" si="0"/>
        <v>64.333333333333329</v>
      </c>
      <c r="F28" s="46">
        <f t="shared" si="1"/>
        <v>1.6666666666666666E-2</v>
      </c>
      <c r="G28" s="47">
        <v>600000</v>
      </c>
      <c r="H28" s="48">
        <f t="shared" si="5"/>
        <v>-43333.333333333256</v>
      </c>
      <c r="I28" s="49">
        <f>INDICES!B50/INDICES!E49</f>
        <v>1.0236796149764791</v>
      </c>
      <c r="J28" s="48">
        <f t="shared" si="6"/>
        <v>-44359.449982314014</v>
      </c>
      <c r="K28" s="99">
        <v>259000</v>
      </c>
      <c r="L28" s="47">
        <f t="shared" si="2"/>
        <v>303359.44998231402</v>
      </c>
      <c r="M28" s="48">
        <f>+L3</f>
        <v>87643.8</v>
      </c>
      <c r="N28" s="48">
        <f t="shared" si="3"/>
        <v>215715.64998231403</v>
      </c>
      <c r="O28" s="50">
        <f t="shared" si="4"/>
        <v>43143.129996462812</v>
      </c>
      <c r="P28" s="35" t="s">
        <v>66</v>
      </c>
      <c r="Q28" s="35" t="s">
        <v>67</v>
      </c>
      <c r="R28" s="35" t="s">
        <v>35</v>
      </c>
      <c r="S28" s="51" t="s">
        <v>318</v>
      </c>
    </row>
    <row r="29" spans="1:19" ht="25.5" hidden="1" x14ac:dyDescent="0.2">
      <c r="A29" s="34" t="s">
        <v>87</v>
      </c>
      <c r="B29" s="53" t="s">
        <v>88</v>
      </c>
      <c r="C29" s="36">
        <v>41891</v>
      </c>
      <c r="D29" s="37">
        <v>42763</v>
      </c>
      <c r="E29" s="38">
        <f t="shared" si="0"/>
        <v>29.066666666666666</v>
      </c>
      <c r="F29" s="46">
        <f t="shared" si="1"/>
        <v>1.6666666666666666E-2</v>
      </c>
      <c r="G29" s="47">
        <v>206000</v>
      </c>
      <c r="H29" s="48">
        <f t="shared" si="5"/>
        <v>106204.44444444444</v>
      </c>
      <c r="I29" s="49">
        <f>INDICES!B50/INDICES!D44</f>
        <v>1.2177945210926007</v>
      </c>
      <c r="J29" s="48">
        <f t="shared" si="6"/>
        <v>129335.19056012793</v>
      </c>
      <c r="K29" s="47">
        <v>145174</v>
      </c>
      <c r="L29" s="47">
        <f t="shared" si="2"/>
        <v>15838.809439872071</v>
      </c>
      <c r="M29" s="48">
        <f>+L3</f>
        <v>87643.8</v>
      </c>
      <c r="N29" s="48">
        <f t="shared" si="3"/>
        <v>-71804.990560127932</v>
      </c>
      <c r="O29" s="50">
        <f t="shared" si="4"/>
        <v>0</v>
      </c>
      <c r="P29" s="35" t="s">
        <v>66</v>
      </c>
      <c r="Q29" s="35" t="s">
        <v>67</v>
      </c>
      <c r="R29" s="35" t="s">
        <v>35</v>
      </c>
      <c r="S29" s="51" t="s">
        <v>316</v>
      </c>
    </row>
    <row r="30" spans="1:19" ht="25.5" hidden="1" x14ac:dyDescent="0.2">
      <c r="A30" s="34" t="s">
        <v>89</v>
      </c>
      <c r="B30" s="53" t="s">
        <v>90</v>
      </c>
      <c r="C30" s="36">
        <v>41507</v>
      </c>
      <c r="D30" s="37">
        <v>42763</v>
      </c>
      <c r="E30" s="38">
        <f t="shared" si="0"/>
        <v>41.866666666666667</v>
      </c>
      <c r="F30" s="46">
        <f t="shared" si="1"/>
        <v>1.6666666666666666E-2</v>
      </c>
      <c r="G30" s="47">
        <v>237051</v>
      </c>
      <c r="H30" s="48">
        <f t="shared" ref="H30:H39" si="7">G30-(G30*F30*E30)</f>
        <v>71642.080000000016</v>
      </c>
      <c r="I30" s="49">
        <f>+INDICES!D49/INDICES!N46</f>
        <v>1.0717168274921978</v>
      </c>
      <c r="J30" s="48">
        <f t="shared" ref="J30:J39" si="8">+H30*I30</f>
        <v>76780.022692542247</v>
      </c>
      <c r="K30" s="47">
        <v>128171</v>
      </c>
      <c r="L30" s="47">
        <f t="shared" ref="L30:L39" si="9">+K30-J30</f>
        <v>51390.977307457753</v>
      </c>
      <c r="M30" s="48">
        <f>+L3</f>
        <v>87643.8</v>
      </c>
      <c r="N30" s="48">
        <f t="shared" ref="N30:N39" si="10">+L30-M30</f>
        <v>-36252.82269254225</v>
      </c>
      <c r="O30" s="50">
        <f t="shared" si="4"/>
        <v>0</v>
      </c>
      <c r="P30" s="35" t="s">
        <v>66</v>
      </c>
      <c r="Q30" s="35" t="s">
        <v>67</v>
      </c>
      <c r="R30" s="35" t="s">
        <v>35</v>
      </c>
      <c r="S30" s="51" t="s">
        <v>322</v>
      </c>
    </row>
    <row r="31" spans="1:19" ht="25.5" hidden="1" x14ac:dyDescent="0.2">
      <c r="A31" s="34" t="s">
        <v>91</v>
      </c>
      <c r="B31" s="53" t="s">
        <v>92</v>
      </c>
      <c r="C31" s="36">
        <v>42531</v>
      </c>
      <c r="D31" s="37">
        <v>42766</v>
      </c>
      <c r="E31" s="38">
        <f t="shared" si="0"/>
        <v>7.833333333333333</v>
      </c>
      <c r="F31" s="46">
        <f t="shared" si="1"/>
        <v>1.6666666666666666E-2</v>
      </c>
      <c r="G31" s="47">
        <v>272400</v>
      </c>
      <c r="H31" s="48">
        <f t="shared" si="7"/>
        <v>236836.66666666669</v>
      </c>
      <c r="I31" s="49">
        <f>INDICES!B50/INDICES!N42</f>
        <v>1.2823833879501436</v>
      </c>
      <c r="J31" s="48">
        <f t="shared" si="8"/>
        <v>303715.40699081885</v>
      </c>
      <c r="K31" s="47">
        <v>200000</v>
      </c>
      <c r="L31" s="47">
        <f t="shared" si="9"/>
        <v>-103715.40699081885</v>
      </c>
      <c r="M31" s="48">
        <f>+L3</f>
        <v>87643.8</v>
      </c>
      <c r="N31" s="48">
        <f t="shared" si="10"/>
        <v>-191359.20699081884</v>
      </c>
      <c r="O31" s="50">
        <f t="shared" si="4"/>
        <v>0</v>
      </c>
      <c r="P31" s="35" t="s">
        <v>74</v>
      </c>
      <c r="Q31" s="35" t="s">
        <v>63</v>
      </c>
      <c r="R31" s="35" t="s">
        <v>35</v>
      </c>
      <c r="S31" s="51" t="s">
        <v>318</v>
      </c>
    </row>
    <row r="32" spans="1:19" ht="25.5" hidden="1" x14ac:dyDescent="0.2">
      <c r="A32" s="34" t="s">
        <v>93</v>
      </c>
      <c r="B32" s="53" t="s">
        <v>94</v>
      </c>
      <c r="C32" s="36">
        <v>40950</v>
      </c>
      <c r="D32" s="37">
        <v>42763</v>
      </c>
      <c r="E32" s="38">
        <f t="shared" si="0"/>
        <v>60.43333333333333</v>
      </c>
      <c r="F32" s="46">
        <f t="shared" si="1"/>
        <v>1.6666666666666666E-2</v>
      </c>
      <c r="G32" s="47">
        <v>190000</v>
      </c>
      <c r="H32" s="48">
        <f t="shared" si="7"/>
        <v>-1372.2222222221899</v>
      </c>
      <c r="I32" s="49">
        <f>+INDICES!D49/INDICES!I47</f>
        <v>1.0572669686460472</v>
      </c>
      <c r="J32" s="48">
        <f t="shared" si="8"/>
        <v>-1450.8052291975973</v>
      </c>
      <c r="K32" s="98">
        <v>115539</v>
      </c>
      <c r="L32" s="47">
        <f t="shared" si="9"/>
        <v>116989.80522919759</v>
      </c>
      <c r="M32" s="48">
        <f>+L3</f>
        <v>87643.8</v>
      </c>
      <c r="N32" s="48">
        <f t="shared" si="10"/>
        <v>29346.005229197588</v>
      </c>
      <c r="O32" s="50">
        <f t="shared" si="4"/>
        <v>5869.201045839518</v>
      </c>
      <c r="P32" s="35" t="s">
        <v>66</v>
      </c>
      <c r="Q32" s="35" t="s">
        <v>67</v>
      </c>
      <c r="R32" s="35" t="s">
        <v>35</v>
      </c>
      <c r="S32" s="51" t="s">
        <v>316</v>
      </c>
    </row>
    <row r="33" spans="1:19" ht="25.5" x14ac:dyDescent="0.2">
      <c r="A33" s="34" t="s">
        <v>95</v>
      </c>
      <c r="B33" s="53" t="s">
        <v>96</v>
      </c>
      <c r="C33" s="36">
        <v>41817</v>
      </c>
      <c r="D33" s="37">
        <v>42766</v>
      </c>
      <c r="E33" s="38">
        <f t="shared" si="0"/>
        <v>31.633333333333333</v>
      </c>
      <c r="F33" s="46">
        <f t="shared" si="1"/>
        <v>1.6666666666666666E-2</v>
      </c>
      <c r="G33" s="47">
        <v>411600</v>
      </c>
      <c r="H33" s="48">
        <f t="shared" si="7"/>
        <v>194595.33333333334</v>
      </c>
      <c r="I33" s="49">
        <f>+INDICES!D49/INDICES!L45</f>
        <v>1.1244566137864844</v>
      </c>
      <c r="J33" s="48">
        <f t="shared" si="8"/>
        <v>218814.00957865221</v>
      </c>
      <c r="K33" s="99">
        <v>283000</v>
      </c>
      <c r="L33" s="47">
        <f t="shared" si="9"/>
        <v>64185.990421347786</v>
      </c>
      <c r="M33" s="48">
        <f>+L3</f>
        <v>87643.8</v>
      </c>
      <c r="N33" s="48">
        <f t="shared" si="10"/>
        <v>-23457.809578652217</v>
      </c>
      <c r="O33" s="50">
        <f t="shared" si="4"/>
        <v>0</v>
      </c>
      <c r="P33" s="35" t="s">
        <v>97</v>
      </c>
      <c r="Q33" s="35" t="s">
        <v>63</v>
      </c>
      <c r="R33" s="35" t="s">
        <v>35</v>
      </c>
      <c r="S33" s="51" t="s">
        <v>323</v>
      </c>
    </row>
    <row r="34" spans="1:19" ht="25.5" hidden="1" x14ac:dyDescent="0.2">
      <c r="A34" s="34" t="s">
        <v>98</v>
      </c>
      <c r="B34" s="53" t="s">
        <v>99</v>
      </c>
      <c r="C34" s="36">
        <v>40763</v>
      </c>
      <c r="D34" s="37">
        <v>42766</v>
      </c>
      <c r="E34" s="38">
        <f t="shared" si="0"/>
        <v>66.766666666666666</v>
      </c>
      <c r="F34" s="46">
        <f t="shared" si="1"/>
        <v>1.6666666666666666E-2</v>
      </c>
      <c r="G34" s="47">
        <v>132400</v>
      </c>
      <c r="H34" s="48">
        <f t="shared" si="7"/>
        <v>-14931.777777777752</v>
      </c>
      <c r="I34" s="49">
        <f>INDICES!B50/INDICES!G48</f>
        <v>1.0583169206316299</v>
      </c>
      <c r="J34" s="48">
        <f t="shared" si="8"/>
        <v>-15802.553077333552</v>
      </c>
      <c r="K34" s="98">
        <v>75000</v>
      </c>
      <c r="L34" s="47">
        <f t="shared" si="9"/>
        <v>90802.553077333549</v>
      </c>
      <c r="M34" s="48">
        <f>+L3</f>
        <v>87643.8</v>
      </c>
      <c r="N34" s="48">
        <f t="shared" si="10"/>
        <v>3158.7530773335457</v>
      </c>
      <c r="O34" s="50">
        <f t="shared" si="4"/>
        <v>631.75061546670918</v>
      </c>
      <c r="P34" s="35" t="s">
        <v>100</v>
      </c>
      <c r="Q34" s="35" t="s">
        <v>67</v>
      </c>
      <c r="R34" s="35" t="s">
        <v>35</v>
      </c>
      <c r="S34" s="51"/>
    </row>
    <row r="35" spans="1:19" ht="25.5" hidden="1" x14ac:dyDescent="0.2">
      <c r="A35" s="34" t="s">
        <v>101</v>
      </c>
      <c r="B35" s="53" t="s">
        <v>102</v>
      </c>
      <c r="C35" s="36">
        <v>40882</v>
      </c>
      <c r="D35" s="37">
        <v>42763</v>
      </c>
      <c r="E35" s="38">
        <f t="shared" si="0"/>
        <v>62.7</v>
      </c>
      <c r="F35" s="46">
        <f t="shared" si="1"/>
        <v>1.6666666666666666E-2</v>
      </c>
      <c r="G35" s="47">
        <v>206896.55</v>
      </c>
      <c r="H35" s="48">
        <f t="shared" si="7"/>
        <v>-9310.3447500000184</v>
      </c>
      <c r="I35" s="49">
        <f>+INDICES!E49/INDICES!N45</f>
        <v>1.1159483803591743</v>
      </c>
      <c r="J35" s="48">
        <f t="shared" si="8"/>
        <v>-10389.864144348063</v>
      </c>
      <c r="K35" s="98">
        <v>147200</v>
      </c>
      <c r="L35" s="47">
        <f t="shared" si="9"/>
        <v>157589.86414434807</v>
      </c>
      <c r="M35" s="48">
        <f>+L3</f>
        <v>87643.8</v>
      </c>
      <c r="N35" s="48">
        <f t="shared" si="10"/>
        <v>69946.064144348071</v>
      </c>
      <c r="O35" s="50">
        <f t="shared" si="4"/>
        <v>13989.212828869615</v>
      </c>
      <c r="P35" s="35" t="s">
        <v>66</v>
      </c>
      <c r="Q35" s="35" t="s">
        <v>67</v>
      </c>
      <c r="R35" s="35" t="s">
        <v>35</v>
      </c>
      <c r="S35" s="51" t="s">
        <v>324</v>
      </c>
    </row>
    <row r="36" spans="1:19" ht="25.5" hidden="1" x14ac:dyDescent="0.2">
      <c r="A36" s="34" t="s">
        <v>103</v>
      </c>
      <c r="B36" s="53" t="s">
        <v>104</v>
      </c>
      <c r="C36" s="36">
        <v>41486</v>
      </c>
      <c r="D36" s="37">
        <v>42763</v>
      </c>
      <c r="E36" s="38">
        <f t="shared" si="0"/>
        <v>42.56666666666667</v>
      </c>
      <c r="F36" s="46">
        <f t="shared" si="1"/>
        <v>1.6666666666666666E-2</v>
      </c>
      <c r="G36" s="47">
        <v>223300</v>
      </c>
      <c r="H36" s="48">
        <f t="shared" si="7"/>
        <v>64881.055555555562</v>
      </c>
      <c r="I36" s="49">
        <f>+INDICES!E49/INDICES!M47</f>
        <v>1.0362619379529496</v>
      </c>
      <c r="J36" s="48">
        <f t="shared" si="8"/>
        <v>67233.768366432996</v>
      </c>
      <c r="K36" s="98">
        <v>162610</v>
      </c>
      <c r="L36" s="47">
        <f t="shared" si="9"/>
        <v>95376.231633567004</v>
      </c>
      <c r="M36" s="48">
        <f>+L3</f>
        <v>87643.8</v>
      </c>
      <c r="N36" s="48">
        <f t="shared" si="10"/>
        <v>7732.431633567001</v>
      </c>
      <c r="O36" s="50">
        <f t="shared" si="4"/>
        <v>1546.4863267134003</v>
      </c>
      <c r="P36" s="35" t="s">
        <v>66</v>
      </c>
      <c r="Q36" s="35" t="s">
        <v>67</v>
      </c>
      <c r="R36" s="35" t="s">
        <v>35</v>
      </c>
      <c r="S36" s="51" t="s">
        <v>324</v>
      </c>
    </row>
    <row r="37" spans="1:19" ht="25.5" x14ac:dyDescent="0.2">
      <c r="A37" s="34" t="s">
        <v>105</v>
      </c>
      <c r="B37" s="53" t="s">
        <v>106</v>
      </c>
      <c r="C37" s="36">
        <v>41377</v>
      </c>
      <c r="D37" s="37">
        <v>42769</v>
      </c>
      <c r="E37" s="38">
        <f t="shared" si="0"/>
        <v>46.4</v>
      </c>
      <c r="F37" s="46">
        <f t="shared" si="1"/>
        <v>1.6666666666666666E-2</v>
      </c>
      <c r="G37" s="47">
        <v>490500</v>
      </c>
      <c r="H37" s="48">
        <f t="shared" si="7"/>
        <v>111180</v>
      </c>
      <c r="I37" s="49">
        <f>+INDICES!E49/INDICES!M45</f>
        <v>1.1185140186915887</v>
      </c>
      <c r="J37" s="48">
        <f t="shared" si="8"/>
        <v>124356.38859813084</v>
      </c>
      <c r="K37" s="99">
        <v>255000</v>
      </c>
      <c r="L37" s="47">
        <f t="shared" si="9"/>
        <v>130643.61140186916</v>
      </c>
      <c r="M37" s="48">
        <f>+L3</f>
        <v>87643.8</v>
      </c>
      <c r="N37" s="48">
        <f t="shared" si="10"/>
        <v>42999.811401869156</v>
      </c>
      <c r="O37" s="50">
        <f t="shared" si="4"/>
        <v>8599.9622803738312</v>
      </c>
      <c r="P37" s="35" t="s">
        <v>33</v>
      </c>
      <c r="Q37" s="35" t="s">
        <v>34</v>
      </c>
      <c r="R37" s="35" t="s">
        <v>35</v>
      </c>
      <c r="S37" s="51" t="s">
        <v>325</v>
      </c>
    </row>
    <row r="38" spans="1:19" hidden="1" x14ac:dyDescent="0.2">
      <c r="A38" s="34" t="s">
        <v>107</v>
      </c>
      <c r="B38" s="53" t="s">
        <v>108</v>
      </c>
      <c r="C38" s="36">
        <v>41641</v>
      </c>
      <c r="D38" s="37">
        <v>42763</v>
      </c>
      <c r="E38" s="38">
        <f t="shared" si="0"/>
        <v>37.4</v>
      </c>
      <c r="F38" s="46">
        <f t="shared" si="1"/>
        <v>1.6666666666666666E-2</v>
      </c>
      <c r="G38" s="47">
        <v>117703</v>
      </c>
      <c r="H38" s="48">
        <f t="shared" si="7"/>
        <v>44334.796666666662</v>
      </c>
      <c r="I38" s="49">
        <f>+INDICES!E49/INDICES!L45</f>
        <v>1.1261126479610077</v>
      </c>
      <c r="J38" s="48">
        <f t="shared" si="8"/>
        <v>49925.975271112853</v>
      </c>
      <c r="K38" s="47">
        <v>99728</v>
      </c>
      <c r="L38" s="47">
        <f t="shared" si="9"/>
        <v>49802.024728887147</v>
      </c>
      <c r="M38" s="48">
        <f>+L3</f>
        <v>87643.8</v>
      </c>
      <c r="N38" s="48">
        <f t="shared" si="10"/>
        <v>-37841.775271112856</v>
      </c>
      <c r="O38" s="50">
        <f t="shared" si="4"/>
        <v>0</v>
      </c>
      <c r="P38" s="35" t="s">
        <v>66</v>
      </c>
      <c r="Q38" s="35" t="s">
        <v>67</v>
      </c>
      <c r="R38" s="35" t="s">
        <v>35</v>
      </c>
      <c r="S38" s="51" t="s">
        <v>316</v>
      </c>
    </row>
    <row r="39" spans="1:19" hidden="1" x14ac:dyDescent="0.2">
      <c r="A39" s="34" t="s">
        <v>109</v>
      </c>
      <c r="B39" s="53" t="s">
        <v>110</v>
      </c>
      <c r="C39" s="36">
        <v>41698</v>
      </c>
      <c r="D39" s="37">
        <v>42768</v>
      </c>
      <c r="E39" s="38">
        <f t="shared" ref="E39:E70" si="11">(D39-C39)/30</f>
        <v>35.666666666666664</v>
      </c>
      <c r="F39" s="46">
        <f t="shared" si="1"/>
        <v>1.6666666666666666E-2</v>
      </c>
      <c r="G39" s="47">
        <v>250759</v>
      </c>
      <c r="H39" s="48">
        <f t="shared" si="7"/>
        <v>101696.70555555556</v>
      </c>
      <c r="I39" s="49">
        <f>+INDICES!E49/INDICES!E43</f>
        <v>1.2234363375088937</v>
      </c>
      <c r="J39" s="48">
        <f t="shared" si="8"/>
        <v>124419.44498160925</v>
      </c>
      <c r="K39" s="47">
        <v>163464</v>
      </c>
      <c r="L39" s="47">
        <f t="shared" si="9"/>
        <v>39044.555018390747</v>
      </c>
      <c r="M39" s="48">
        <f>+L3</f>
        <v>87643.8</v>
      </c>
      <c r="N39" s="48">
        <f t="shared" si="10"/>
        <v>-48599.244981609256</v>
      </c>
      <c r="O39" s="50">
        <f t="shared" si="4"/>
        <v>0</v>
      </c>
      <c r="P39" s="35" t="s">
        <v>66</v>
      </c>
      <c r="Q39" s="35" t="s">
        <v>67</v>
      </c>
      <c r="R39" s="35" t="s">
        <v>35</v>
      </c>
      <c r="S39" s="51" t="s">
        <v>316</v>
      </c>
    </row>
    <row r="40" spans="1:19" hidden="1" x14ac:dyDescent="0.2">
      <c r="A40" s="34" t="s">
        <v>111</v>
      </c>
      <c r="B40" s="53" t="s">
        <v>112</v>
      </c>
      <c r="C40" s="36">
        <v>41542</v>
      </c>
      <c r="D40" s="37">
        <v>42774</v>
      </c>
      <c r="E40" s="38">
        <f t="shared" si="11"/>
        <v>41.06666666666667</v>
      </c>
      <c r="F40" s="46">
        <f t="shared" si="1"/>
        <v>1.6666666666666666E-2</v>
      </c>
      <c r="G40" s="47">
        <v>150420</v>
      </c>
      <c r="H40" s="48">
        <f t="shared" ref="H40:H51" si="12">G40-(G40*F40*E40)</f>
        <v>47465.866666666654</v>
      </c>
      <c r="I40" s="49">
        <f>+INDICES!E49/INDICES!N42</f>
        <v>1.2527194731523581</v>
      </c>
      <c r="J40" s="48">
        <f t="shared" ref="J40:J51" si="13">+H40*I40</f>
        <v>59461.415483386729</v>
      </c>
      <c r="K40" s="47">
        <v>104350</v>
      </c>
      <c r="L40" s="47">
        <f t="shared" ref="L40:L50" si="14">+K40-J40</f>
        <v>44888.584516613271</v>
      </c>
      <c r="M40" s="48">
        <f>+L3</f>
        <v>87643.8</v>
      </c>
      <c r="N40" s="48">
        <f t="shared" ref="N40:N54" si="15">+L40-M40</f>
        <v>-42755.215483386732</v>
      </c>
      <c r="O40" s="50">
        <f t="shared" si="4"/>
        <v>0</v>
      </c>
      <c r="P40" s="35" t="s">
        <v>66</v>
      </c>
      <c r="Q40" s="35" t="s">
        <v>67</v>
      </c>
      <c r="R40" s="35" t="s">
        <v>35</v>
      </c>
      <c r="S40" s="51"/>
    </row>
    <row r="41" spans="1:19" hidden="1" x14ac:dyDescent="0.2">
      <c r="A41" s="34" t="s">
        <v>113</v>
      </c>
      <c r="B41" s="53" t="s">
        <v>114</v>
      </c>
      <c r="C41" s="36">
        <v>41380</v>
      </c>
      <c r="D41" s="37">
        <v>42776</v>
      </c>
      <c r="E41" s="38">
        <f t="shared" si="11"/>
        <v>46.533333333333331</v>
      </c>
      <c r="F41" s="46">
        <f t="shared" si="1"/>
        <v>1.6666666666666666E-2</v>
      </c>
      <c r="G41" s="47">
        <v>266473</v>
      </c>
      <c r="H41" s="48">
        <f t="shared" si="12"/>
        <v>59808.384444444469</v>
      </c>
      <c r="I41" s="49">
        <f>+INDICES!E49/INDICES!G46</f>
        <v>1.1009097515430821</v>
      </c>
      <c r="J41" s="48">
        <f t="shared" si="13"/>
        <v>65843.633658926497</v>
      </c>
      <c r="K41" s="98">
        <v>155000</v>
      </c>
      <c r="L41" s="47">
        <f t="shared" si="14"/>
        <v>89156.366341073503</v>
      </c>
      <c r="M41" s="48">
        <f>+L3</f>
        <v>87643.8</v>
      </c>
      <c r="N41" s="48">
        <f t="shared" si="15"/>
        <v>1512.5663410734996</v>
      </c>
      <c r="O41" s="50">
        <f t="shared" si="4"/>
        <v>302.51326821469996</v>
      </c>
      <c r="P41" s="35" t="s">
        <v>79</v>
      </c>
      <c r="Q41" s="35" t="s">
        <v>34</v>
      </c>
      <c r="R41" s="35" t="s">
        <v>35</v>
      </c>
      <c r="S41" s="51" t="s">
        <v>318</v>
      </c>
    </row>
    <row r="42" spans="1:19" hidden="1" x14ac:dyDescent="0.2">
      <c r="A42" s="34" t="s">
        <v>115</v>
      </c>
      <c r="B42" s="53" t="s">
        <v>116</v>
      </c>
      <c r="C42" s="36">
        <v>41739</v>
      </c>
      <c r="D42" s="37">
        <v>42776</v>
      </c>
      <c r="E42" s="38">
        <f t="shared" si="11"/>
        <v>34.56666666666667</v>
      </c>
      <c r="F42" s="46">
        <f t="shared" si="1"/>
        <v>1.6666666666666666E-2</v>
      </c>
      <c r="G42" s="47">
        <v>128769.83</v>
      </c>
      <c r="H42" s="48">
        <f t="shared" si="12"/>
        <v>54584.100161111099</v>
      </c>
      <c r="I42" s="49">
        <f>INDICES!C50/INDICES!E49</f>
        <v>1.0410842155396429</v>
      </c>
      <c r="J42" s="48">
        <f t="shared" si="13"/>
        <v>56826.645097167646</v>
      </c>
      <c r="K42" s="47">
        <v>108046</v>
      </c>
      <c r="L42" s="47">
        <f t="shared" si="14"/>
        <v>51219.354902832354</v>
      </c>
      <c r="M42" s="48">
        <f>+L3</f>
        <v>87643.8</v>
      </c>
      <c r="N42" s="48">
        <f t="shared" si="15"/>
        <v>-36424.445097167649</v>
      </c>
      <c r="O42" s="50">
        <f t="shared" si="4"/>
        <v>0</v>
      </c>
      <c r="P42" s="35" t="s">
        <v>66</v>
      </c>
      <c r="Q42" s="35" t="s">
        <v>67</v>
      </c>
      <c r="R42" s="35" t="s">
        <v>35</v>
      </c>
      <c r="S42" s="51" t="s">
        <v>316</v>
      </c>
    </row>
    <row r="43" spans="1:19" ht="25.5" hidden="1" x14ac:dyDescent="0.2">
      <c r="A43" s="34" t="s">
        <v>117</v>
      </c>
      <c r="B43" s="53" t="s">
        <v>118</v>
      </c>
      <c r="C43" s="36">
        <v>40439</v>
      </c>
      <c r="D43" s="37">
        <v>42775</v>
      </c>
      <c r="E43" s="38">
        <f t="shared" si="11"/>
        <v>77.86666666666666</v>
      </c>
      <c r="F43" s="46">
        <f t="shared" si="1"/>
        <v>1.6666666666666666E-2</v>
      </c>
      <c r="G43" s="47">
        <v>285000</v>
      </c>
      <c r="H43" s="48">
        <f t="shared" si="12"/>
        <v>-84866.666666666628</v>
      </c>
      <c r="I43" s="49">
        <f>+INDICES!E49/INDICES!L48</f>
        <v>1.019342475087301</v>
      </c>
      <c r="J43" s="48">
        <f t="shared" si="13"/>
        <v>-86508.198052408901</v>
      </c>
      <c r="K43" s="98">
        <v>208000</v>
      </c>
      <c r="L43" s="47">
        <f t="shared" si="14"/>
        <v>294508.19805240887</v>
      </c>
      <c r="M43" s="48">
        <f>+L3</f>
        <v>87643.8</v>
      </c>
      <c r="N43" s="48">
        <f t="shared" si="15"/>
        <v>206864.39805240888</v>
      </c>
      <c r="O43" s="50">
        <f t="shared" si="4"/>
        <v>41372.879610481781</v>
      </c>
      <c r="P43" s="35" t="s">
        <v>66</v>
      </c>
      <c r="Q43" s="35" t="s">
        <v>67</v>
      </c>
      <c r="R43" s="35" t="s">
        <v>35</v>
      </c>
      <c r="S43" s="51" t="s">
        <v>320</v>
      </c>
    </row>
    <row r="44" spans="1:19" hidden="1" x14ac:dyDescent="0.2">
      <c r="A44" s="34" t="s">
        <v>119</v>
      </c>
      <c r="B44" s="53" t="s">
        <v>120</v>
      </c>
      <c r="C44" s="36">
        <v>40414</v>
      </c>
      <c r="D44" s="37">
        <v>42780</v>
      </c>
      <c r="E44" s="38">
        <f t="shared" si="11"/>
        <v>78.86666666666666</v>
      </c>
      <c r="F44" s="46">
        <f t="shared" si="1"/>
        <v>1.6666666666666666E-2</v>
      </c>
      <c r="G44" s="47">
        <v>311000</v>
      </c>
      <c r="H44" s="48">
        <f t="shared" si="12"/>
        <v>-97792.22222222219</v>
      </c>
      <c r="I44" s="49">
        <f>+INDICES!E49/INDICES!K47</f>
        <v>1.0503953870053275</v>
      </c>
      <c r="J44" s="48">
        <f t="shared" si="13"/>
        <v>-102720.49910722207</v>
      </c>
      <c r="K44" s="98">
        <v>125000</v>
      </c>
      <c r="L44" s="47">
        <f t="shared" si="14"/>
        <v>227720.49910722207</v>
      </c>
      <c r="M44" s="48">
        <f>+L3</f>
        <v>87643.8</v>
      </c>
      <c r="N44" s="48">
        <f t="shared" si="15"/>
        <v>140076.69910722208</v>
      </c>
      <c r="O44" s="50">
        <f t="shared" si="4"/>
        <v>28015.339821444417</v>
      </c>
      <c r="P44" s="35" t="s">
        <v>74</v>
      </c>
      <c r="Q44" s="35" t="s">
        <v>63</v>
      </c>
      <c r="R44" s="35" t="s">
        <v>35</v>
      </c>
      <c r="S44" s="51" t="s">
        <v>326</v>
      </c>
    </row>
    <row r="45" spans="1:19" hidden="1" x14ac:dyDescent="0.2">
      <c r="A45" s="34" t="s">
        <v>121</v>
      </c>
      <c r="B45" s="53" t="s">
        <v>122</v>
      </c>
      <c r="C45" s="36">
        <v>40708</v>
      </c>
      <c r="D45" s="37">
        <v>42781</v>
      </c>
      <c r="E45" s="38">
        <f t="shared" si="11"/>
        <v>69.099999999999994</v>
      </c>
      <c r="F45" s="46">
        <f t="shared" si="1"/>
        <v>1.6666666666666666E-2</v>
      </c>
      <c r="G45" s="47">
        <v>428300</v>
      </c>
      <c r="H45" s="48">
        <f t="shared" si="12"/>
        <v>-64958.833333333256</v>
      </c>
      <c r="I45" s="49">
        <f>+INDICES!E49/INDICES!N45</f>
        <v>1.1159483803591743</v>
      </c>
      <c r="J45" s="48">
        <f t="shared" si="13"/>
        <v>-72490.704848354784</v>
      </c>
      <c r="K45" s="98">
        <v>150000</v>
      </c>
      <c r="L45" s="47">
        <f t="shared" si="14"/>
        <v>222490.7048483548</v>
      </c>
      <c r="M45" s="48">
        <f>+L3</f>
        <v>87643.8</v>
      </c>
      <c r="N45" s="48">
        <f t="shared" si="15"/>
        <v>134846.90484835481</v>
      </c>
      <c r="O45" s="50">
        <f t="shared" si="4"/>
        <v>26969.380969670965</v>
      </c>
      <c r="P45" s="35" t="s">
        <v>38</v>
      </c>
      <c r="Q45" s="35" t="s">
        <v>34</v>
      </c>
      <c r="R45" s="35" t="s">
        <v>35</v>
      </c>
      <c r="S45" s="51" t="s">
        <v>327</v>
      </c>
    </row>
    <row r="46" spans="1:19" s="69" customFormat="1" hidden="1" x14ac:dyDescent="0.2">
      <c r="A46" s="59" t="s">
        <v>123</v>
      </c>
      <c r="B46" s="60" t="s">
        <v>71</v>
      </c>
      <c r="C46" s="61"/>
      <c r="D46" s="61"/>
      <c r="E46" s="62">
        <f t="shared" si="11"/>
        <v>0</v>
      </c>
      <c r="F46" s="63">
        <f t="shared" si="1"/>
        <v>1.6666666666666666E-2</v>
      </c>
      <c r="G46" s="64"/>
      <c r="H46" s="65">
        <f t="shared" si="12"/>
        <v>0</v>
      </c>
      <c r="I46" s="66">
        <f>+INDICES!E49/INDICES!L42</f>
        <v>1.2644290936047404</v>
      </c>
      <c r="J46" s="65">
        <f t="shared" si="13"/>
        <v>0</v>
      </c>
      <c r="K46" s="64"/>
      <c r="L46" s="64">
        <f t="shared" si="14"/>
        <v>0</v>
      </c>
      <c r="M46" s="65">
        <f>+L3</f>
        <v>87643.8</v>
      </c>
      <c r="N46" s="65">
        <f t="shared" si="15"/>
        <v>-87643.8</v>
      </c>
      <c r="O46" s="65">
        <f t="shared" si="4"/>
        <v>0</v>
      </c>
      <c r="P46" s="59"/>
      <c r="Q46" s="60"/>
      <c r="R46" s="59"/>
      <c r="S46" s="67" t="s">
        <v>357</v>
      </c>
    </row>
    <row r="47" spans="1:19" hidden="1" x14ac:dyDescent="0.2">
      <c r="A47" s="34" t="s">
        <v>124</v>
      </c>
      <c r="B47" s="53" t="s">
        <v>125</v>
      </c>
      <c r="C47" s="36">
        <v>41565</v>
      </c>
      <c r="D47" s="37">
        <v>42794</v>
      </c>
      <c r="E47" s="38">
        <f t="shared" si="11"/>
        <v>40.966666666666669</v>
      </c>
      <c r="F47" s="46">
        <f t="shared" si="1"/>
        <v>1.6666666666666666E-2</v>
      </c>
      <c r="G47" s="47">
        <v>241400</v>
      </c>
      <c r="H47" s="48">
        <f t="shared" si="12"/>
        <v>76577.444444444438</v>
      </c>
      <c r="I47" s="49">
        <f>+INDICES!E49/INDICES!N48</f>
        <v>1.0096935848547228</v>
      </c>
      <c r="J47" s="48">
        <f t="shared" si="13"/>
        <v>77319.754400124482</v>
      </c>
      <c r="K47" s="47">
        <v>148150</v>
      </c>
      <c r="L47" s="47">
        <f t="shared" si="14"/>
        <v>70830.245599875518</v>
      </c>
      <c r="M47" s="48">
        <f>+L3</f>
        <v>87643.8</v>
      </c>
      <c r="N47" s="48">
        <f t="shared" si="15"/>
        <v>-16813.554400124485</v>
      </c>
      <c r="O47" s="50">
        <f t="shared" si="4"/>
        <v>0</v>
      </c>
      <c r="P47" s="35" t="s">
        <v>66</v>
      </c>
      <c r="Q47" s="35" t="s">
        <v>67</v>
      </c>
      <c r="R47" s="35" t="s">
        <v>35</v>
      </c>
      <c r="S47" s="51" t="s">
        <v>328</v>
      </c>
    </row>
    <row r="48" spans="1:19" hidden="1" x14ac:dyDescent="0.2">
      <c r="A48" s="34" t="s">
        <v>126</v>
      </c>
      <c r="B48" s="53" t="s">
        <v>127</v>
      </c>
      <c r="C48" s="36">
        <v>41781</v>
      </c>
      <c r="D48" s="36">
        <v>42782</v>
      </c>
      <c r="E48" s="38">
        <f t="shared" si="11"/>
        <v>33.366666666666667</v>
      </c>
      <c r="F48" s="46">
        <f t="shared" si="1"/>
        <v>1.6666666666666666E-2</v>
      </c>
      <c r="G48" s="47">
        <v>219000</v>
      </c>
      <c r="H48" s="48">
        <f t="shared" si="12"/>
        <v>97211.666666666672</v>
      </c>
      <c r="I48" s="49">
        <f>+INDICES!E49/INDICES!C48</f>
        <v>1.0321420563326837</v>
      </c>
      <c r="J48" s="48">
        <f t="shared" si="13"/>
        <v>100336.24953286075</v>
      </c>
      <c r="K48" s="47">
        <v>115000</v>
      </c>
      <c r="L48" s="47">
        <f t="shared" si="14"/>
        <v>14663.750467139253</v>
      </c>
      <c r="M48" s="48">
        <f>+L3</f>
        <v>87643.8</v>
      </c>
      <c r="N48" s="48">
        <f t="shared" si="15"/>
        <v>-72980.04953286075</v>
      </c>
      <c r="O48" s="50">
        <f t="shared" si="4"/>
        <v>0</v>
      </c>
      <c r="P48" s="35" t="s">
        <v>47</v>
      </c>
      <c r="Q48" s="35" t="s">
        <v>48</v>
      </c>
      <c r="R48" s="35" t="s">
        <v>35</v>
      </c>
      <c r="S48" s="51" t="s">
        <v>318</v>
      </c>
    </row>
    <row r="49" spans="1:19" ht="25.5" x14ac:dyDescent="0.2">
      <c r="A49" s="34" t="s">
        <v>128</v>
      </c>
      <c r="B49" s="53" t="s">
        <v>129</v>
      </c>
      <c r="C49" s="36">
        <v>42727</v>
      </c>
      <c r="D49" s="36">
        <v>42786</v>
      </c>
      <c r="E49" s="38">
        <f t="shared" si="11"/>
        <v>1.9666666666666666</v>
      </c>
      <c r="F49" s="46">
        <f t="shared" si="1"/>
        <v>1.6666666666666666E-2</v>
      </c>
      <c r="G49" s="47">
        <v>280000</v>
      </c>
      <c r="H49" s="48">
        <f t="shared" si="12"/>
        <v>270822.22222222225</v>
      </c>
      <c r="I49" s="49">
        <f>+INDICES!E49/INDICES!M48</f>
        <v>1.0138075916341243</v>
      </c>
      <c r="J49" s="48">
        <f t="shared" si="13"/>
        <v>274561.62487211276</v>
      </c>
      <c r="K49" s="99">
        <v>240000</v>
      </c>
      <c r="L49" s="47">
        <f t="shared" si="14"/>
        <v>-34561.624872112763</v>
      </c>
      <c r="M49" s="48">
        <f>+L3</f>
        <v>87643.8</v>
      </c>
      <c r="N49" s="48">
        <f t="shared" si="15"/>
        <v>-122205.42487211277</v>
      </c>
      <c r="O49" s="50">
        <f t="shared" si="4"/>
        <v>0</v>
      </c>
      <c r="P49" s="35" t="s">
        <v>130</v>
      </c>
      <c r="Q49" s="35" t="s">
        <v>67</v>
      </c>
      <c r="R49" s="35" t="s">
        <v>35</v>
      </c>
      <c r="S49" s="51" t="s">
        <v>329</v>
      </c>
    </row>
    <row r="50" spans="1:19" hidden="1" x14ac:dyDescent="0.2">
      <c r="A50" s="34" t="s">
        <v>131</v>
      </c>
      <c r="B50" s="53" t="s">
        <v>132</v>
      </c>
      <c r="C50" s="36">
        <v>40171</v>
      </c>
      <c r="D50" s="37">
        <v>42786</v>
      </c>
      <c r="E50" s="38">
        <f t="shared" si="11"/>
        <v>87.166666666666671</v>
      </c>
      <c r="F50" s="46">
        <f t="shared" si="1"/>
        <v>1.6666666666666666E-2</v>
      </c>
      <c r="G50" s="47">
        <v>254170</v>
      </c>
      <c r="H50" s="48">
        <f t="shared" si="12"/>
        <v>-115082.52777777781</v>
      </c>
      <c r="I50" s="49">
        <f>+INDICES!F49/INDICES!L42</f>
        <v>1.2604249607308826</v>
      </c>
      <c r="J50" s="48">
        <f t="shared" si="13"/>
        <v>-145052.89055511629</v>
      </c>
      <c r="K50" s="98">
        <v>95000</v>
      </c>
      <c r="L50" s="47">
        <f t="shared" si="14"/>
        <v>240052.89055511629</v>
      </c>
      <c r="M50" s="48">
        <f>+L3</f>
        <v>87643.8</v>
      </c>
      <c r="N50" s="48">
        <f t="shared" si="15"/>
        <v>152409.0905551163</v>
      </c>
      <c r="O50" s="50">
        <f t="shared" si="4"/>
        <v>30481.818111023262</v>
      </c>
      <c r="P50" s="35" t="s">
        <v>66</v>
      </c>
      <c r="Q50" s="35" t="s">
        <v>67</v>
      </c>
      <c r="R50" s="35" t="s">
        <v>35</v>
      </c>
      <c r="S50" s="51" t="s">
        <v>320</v>
      </c>
    </row>
    <row r="51" spans="1:19" s="69" customFormat="1" hidden="1" x14ac:dyDescent="0.2">
      <c r="A51" s="59" t="s">
        <v>133</v>
      </c>
      <c r="B51" s="60" t="s">
        <v>71</v>
      </c>
      <c r="C51" s="61"/>
      <c r="D51" s="61"/>
      <c r="E51" s="62">
        <f t="shared" si="11"/>
        <v>0</v>
      </c>
      <c r="F51" s="63">
        <f t="shared" si="1"/>
        <v>1.6666666666666666E-2</v>
      </c>
      <c r="G51" s="64"/>
      <c r="H51" s="65">
        <f t="shared" si="12"/>
        <v>0</v>
      </c>
      <c r="I51" s="66">
        <f>+INDICES!F49/INDICES!E47</f>
        <v>1.0548457546043732</v>
      </c>
      <c r="J51" s="65">
        <f t="shared" si="13"/>
        <v>0</v>
      </c>
      <c r="K51" s="64"/>
      <c r="L51" s="64"/>
      <c r="M51" s="65">
        <f>+L3</f>
        <v>87643.8</v>
      </c>
      <c r="N51" s="65">
        <f t="shared" si="15"/>
        <v>-87643.8</v>
      </c>
      <c r="O51" s="65"/>
      <c r="P51" s="59"/>
      <c r="Q51" s="60"/>
      <c r="R51" s="59"/>
      <c r="S51" s="67" t="s">
        <v>71</v>
      </c>
    </row>
    <row r="52" spans="1:19" hidden="1" x14ac:dyDescent="0.2">
      <c r="A52" s="34" t="s">
        <v>134</v>
      </c>
      <c r="B52" s="53" t="s">
        <v>135</v>
      </c>
      <c r="C52" s="36">
        <v>40329</v>
      </c>
      <c r="D52" s="37">
        <v>42787</v>
      </c>
      <c r="E52" s="38">
        <f t="shared" si="11"/>
        <v>81.933333333333337</v>
      </c>
      <c r="F52" s="46">
        <f t="shared" si="1"/>
        <v>1.6666666666666666E-2</v>
      </c>
      <c r="G52" s="47">
        <v>177899.92</v>
      </c>
      <c r="H52" s="48">
        <f t="shared" ref="H52:H63" si="16">G52-(G52*F52*E52)</f>
        <v>-65032.304088888894</v>
      </c>
      <c r="I52" s="49">
        <f>+INDICES!F49/INDICES!K48</f>
        <v>1.0213425335376556</v>
      </c>
      <c r="J52" s="48">
        <f t="shared" ref="J52:J63" si="17">+H52*I52</f>
        <v>-66420.258219937023</v>
      </c>
      <c r="K52" s="98">
        <v>90000</v>
      </c>
      <c r="L52" s="47">
        <f t="shared" ref="L52:L63" si="18">+K52-J52</f>
        <v>156420.25821993704</v>
      </c>
      <c r="M52" s="48">
        <f>+L3</f>
        <v>87643.8</v>
      </c>
      <c r="N52" s="48">
        <f t="shared" si="15"/>
        <v>68776.458219937034</v>
      </c>
      <c r="O52" s="50">
        <f t="shared" si="4"/>
        <v>13755.291643987408</v>
      </c>
      <c r="P52" s="35" t="s">
        <v>136</v>
      </c>
      <c r="Q52" s="35" t="s">
        <v>34</v>
      </c>
      <c r="R52" s="35" t="s">
        <v>35</v>
      </c>
      <c r="S52" s="51" t="s">
        <v>330</v>
      </c>
    </row>
    <row r="53" spans="1:19" hidden="1" x14ac:dyDescent="0.2">
      <c r="A53" s="34" t="s">
        <v>137</v>
      </c>
      <c r="B53" s="53" t="s">
        <v>138</v>
      </c>
      <c r="C53" s="36">
        <v>41496</v>
      </c>
      <c r="D53" s="37">
        <v>42762</v>
      </c>
      <c r="E53" s="38">
        <f t="shared" si="11"/>
        <v>42.2</v>
      </c>
      <c r="F53" s="46">
        <f t="shared" si="1"/>
        <v>1.6666666666666666E-2</v>
      </c>
      <c r="G53" s="47">
        <v>214000</v>
      </c>
      <c r="H53" s="48">
        <f t="shared" si="16"/>
        <v>63486.666666666657</v>
      </c>
      <c r="I53" s="49">
        <f>+INDICES!F49/INDICES!K48</f>
        <v>1.0213425335376556</v>
      </c>
      <c r="J53" s="48">
        <f t="shared" si="17"/>
        <v>64841.63297919395</v>
      </c>
      <c r="K53" s="47">
        <v>110000</v>
      </c>
      <c r="L53" s="47">
        <f t="shared" si="18"/>
        <v>45158.36702080605</v>
      </c>
      <c r="M53" s="48">
        <f>+L3</f>
        <v>87643.8</v>
      </c>
      <c r="N53" s="48">
        <f t="shared" si="15"/>
        <v>-42485.432979193953</v>
      </c>
      <c r="O53" s="50">
        <f t="shared" si="4"/>
        <v>0</v>
      </c>
      <c r="P53" s="35" t="s">
        <v>139</v>
      </c>
      <c r="Q53" s="35" t="s">
        <v>48</v>
      </c>
      <c r="R53" s="35" t="s">
        <v>35</v>
      </c>
      <c r="S53" s="51" t="s">
        <v>327</v>
      </c>
    </row>
    <row r="54" spans="1:19" hidden="1" x14ac:dyDescent="0.2">
      <c r="A54" s="34" t="s">
        <v>140</v>
      </c>
      <c r="B54" s="53" t="s">
        <v>141</v>
      </c>
      <c r="C54" s="36">
        <v>42178</v>
      </c>
      <c r="D54" s="37">
        <v>42789</v>
      </c>
      <c r="E54" s="38">
        <f t="shared" si="11"/>
        <v>20.366666666666667</v>
      </c>
      <c r="F54" s="46">
        <f t="shared" si="1"/>
        <v>1.6666666666666666E-2</v>
      </c>
      <c r="G54" s="47">
        <v>187900</v>
      </c>
      <c r="H54" s="48">
        <f t="shared" si="16"/>
        <v>124118.38888888889</v>
      </c>
      <c r="I54" s="49">
        <f>+INDICES!F49/INDICES!K43</f>
        <v>1.2191409049837203</v>
      </c>
      <c r="J54" s="48">
        <f t="shared" si="17"/>
        <v>151317.80495512133</v>
      </c>
      <c r="K54" s="47">
        <v>125000</v>
      </c>
      <c r="L54" s="47">
        <f t="shared" si="18"/>
        <v>-26317.804955121333</v>
      </c>
      <c r="M54" s="48">
        <f>+L3</f>
        <v>87643.8</v>
      </c>
      <c r="N54" s="48">
        <f t="shared" si="15"/>
        <v>-113961.60495512134</v>
      </c>
      <c r="O54" s="50">
        <f t="shared" si="4"/>
        <v>0</v>
      </c>
      <c r="P54" s="35" t="s">
        <v>38</v>
      </c>
      <c r="Q54" s="35" t="s">
        <v>34</v>
      </c>
      <c r="R54" s="35" t="s">
        <v>35</v>
      </c>
      <c r="S54" s="51" t="s">
        <v>331</v>
      </c>
    </row>
    <row r="55" spans="1:19" hidden="1" x14ac:dyDescent="0.2">
      <c r="A55" s="34" t="s">
        <v>142</v>
      </c>
      <c r="B55" s="53" t="s">
        <v>143</v>
      </c>
      <c r="C55" s="36">
        <v>41093</v>
      </c>
      <c r="D55" s="37">
        <v>42789</v>
      </c>
      <c r="E55" s="38">
        <f t="shared" si="11"/>
        <v>56.533333333333331</v>
      </c>
      <c r="F55" s="46">
        <f t="shared" si="1"/>
        <v>1.6666666666666666E-2</v>
      </c>
      <c r="G55" s="47">
        <v>375600</v>
      </c>
      <c r="H55" s="48">
        <f t="shared" si="16"/>
        <v>21701.333333333372</v>
      </c>
      <c r="I55" s="49">
        <f>+INDICES!G49/INDICES!M44</f>
        <v>1.1563963507842698</v>
      </c>
      <c r="J55" s="48">
        <f t="shared" si="17"/>
        <v>25095.342673819745</v>
      </c>
      <c r="K55" s="98">
        <v>150000</v>
      </c>
      <c r="L55" s="47">
        <f t="shared" si="18"/>
        <v>124904.65732618026</v>
      </c>
      <c r="M55" s="48">
        <f>+L3</f>
        <v>87643.8</v>
      </c>
      <c r="N55" s="48">
        <f t="shared" ref="N55:N63" si="19">+L55-M55</f>
        <v>37260.857326180252</v>
      </c>
      <c r="O55" s="50">
        <f t="shared" si="4"/>
        <v>7452.1714652360506</v>
      </c>
      <c r="P55" s="35" t="s">
        <v>66</v>
      </c>
      <c r="Q55" s="35" t="s">
        <v>67</v>
      </c>
      <c r="R55" s="35" t="s">
        <v>35</v>
      </c>
      <c r="S55" s="51" t="s">
        <v>318</v>
      </c>
    </row>
    <row r="56" spans="1:19" ht="25.5" hidden="1" x14ac:dyDescent="0.2">
      <c r="A56" s="34" t="s">
        <v>144</v>
      </c>
      <c r="B56" s="53" t="s">
        <v>145</v>
      </c>
      <c r="C56" s="36">
        <v>41654</v>
      </c>
      <c r="D56" s="37">
        <v>42789</v>
      </c>
      <c r="E56" s="38">
        <f t="shared" si="11"/>
        <v>37.833333333333336</v>
      </c>
      <c r="F56" s="46">
        <f t="shared" si="1"/>
        <v>1.6666666666666666E-2</v>
      </c>
      <c r="G56" s="47">
        <v>201700</v>
      </c>
      <c r="H56" s="48">
        <f t="shared" si="16"/>
        <v>74516.944444444438</v>
      </c>
      <c r="I56" s="49">
        <f>+INDICES!G49/INDICES!G43</f>
        <v>1.2257279708783408</v>
      </c>
      <c r="J56" s="48">
        <f t="shared" si="17"/>
        <v>91337.503109942932</v>
      </c>
      <c r="K56" s="47">
        <v>120000</v>
      </c>
      <c r="L56" s="47">
        <f t="shared" si="18"/>
        <v>28662.496890057068</v>
      </c>
      <c r="M56" s="48">
        <f>+L3</f>
        <v>87643.8</v>
      </c>
      <c r="N56" s="48">
        <f t="shared" si="19"/>
        <v>-58981.303109942935</v>
      </c>
      <c r="O56" s="50">
        <f t="shared" si="4"/>
        <v>0</v>
      </c>
      <c r="P56" s="35" t="s">
        <v>146</v>
      </c>
      <c r="Q56" s="35" t="s">
        <v>44</v>
      </c>
      <c r="R56" s="35" t="s">
        <v>35</v>
      </c>
      <c r="S56" s="51" t="s">
        <v>332</v>
      </c>
    </row>
    <row r="57" spans="1:19" ht="25.5" x14ac:dyDescent="0.2">
      <c r="A57" s="34" t="s">
        <v>147</v>
      </c>
      <c r="B57" s="53" t="s">
        <v>148</v>
      </c>
      <c r="C57" s="36">
        <v>41927</v>
      </c>
      <c r="D57" s="37">
        <v>42786</v>
      </c>
      <c r="E57" s="38">
        <f t="shared" si="11"/>
        <v>28.633333333333333</v>
      </c>
      <c r="F57" s="46">
        <f t="shared" si="1"/>
        <v>1.6666666666666666E-2</v>
      </c>
      <c r="G57" s="47">
        <v>535500</v>
      </c>
      <c r="H57" s="48">
        <f t="shared" si="16"/>
        <v>279947.5</v>
      </c>
      <c r="I57" s="49">
        <f>+INDICES!G49/INDICES!H48</f>
        <v>1.0242501595405233</v>
      </c>
      <c r="J57" s="48">
        <f t="shared" si="17"/>
        <v>286736.27153797064</v>
      </c>
      <c r="K57" s="99">
        <v>370000</v>
      </c>
      <c r="L57" s="47">
        <f t="shared" si="18"/>
        <v>83263.728462029365</v>
      </c>
      <c r="M57" s="48">
        <f>+L3</f>
        <v>87643.8</v>
      </c>
      <c r="N57" s="48">
        <f t="shared" si="19"/>
        <v>-4380.071537970638</v>
      </c>
      <c r="O57" s="50">
        <f t="shared" si="4"/>
        <v>0</v>
      </c>
      <c r="P57" s="35" t="s">
        <v>38</v>
      </c>
      <c r="Q57" s="35" t="s">
        <v>34</v>
      </c>
      <c r="R57" s="35" t="s">
        <v>35</v>
      </c>
      <c r="S57" s="51" t="s">
        <v>331</v>
      </c>
    </row>
    <row r="58" spans="1:19" ht="25.5" hidden="1" x14ac:dyDescent="0.2">
      <c r="A58" s="34" t="s">
        <v>149</v>
      </c>
      <c r="B58" s="53" t="s">
        <v>150</v>
      </c>
      <c r="C58" s="36">
        <v>41670</v>
      </c>
      <c r="D58" s="37">
        <v>42794</v>
      </c>
      <c r="E58" s="38">
        <f t="shared" si="11"/>
        <v>37.466666666666669</v>
      </c>
      <c r="F58" s="46">
        <f t="shared" si="1"/>
        <v>1.6666666666666666E-2</v>
      </c>
      <c r="G58" s="47">
        <v>322000</v>
      </c>
      <c r="H58" s="48">
        <f t="shared" si="16"/>
        <v>120928.88888888888</v>
      </c>
      <c r="I58" s="49">
        <f>+INDICES!G49/INDICES!F48</f>
        <v>1.0208431819158537</v>
      </c>
      <c r="J58" s="48">
        <f t="shared" si="17"/>
        <v>123449.43171888204</v>
      </c>
      <c r="K58" s="47">
        <v>180000</v>
      </c>
      <c r="L58" s="47">
        <f t="shared" si="18"/>
        <v>56550.568281117958</v>
      </c>
      <c r="M58" s="48">
        <f>+L3</f>
        <v>87643.8</v>
      </c>
      <c r="N58" s="48">
        <f t="shared" si="19"/>
        <v>-31093.231718882045</v>
      </c>
      <c r="O58" s="50">
        <f t="shared" si="4"/>
        <v>0</v>
      </c>
      <c r="P58" s="35" t="s">
        <v>43</v>
      </c>
      <c r="Q58" s="35" t="s">
        <v>44</v>
      </c>
      <c r="R58" s="35" t="s">
        <v>35</v>
      </c>
      <c r="S58" s="51" t="s">
        <v>331</v>
      </c>
    </row>
    <row r="59" spans="1:19" ht="25.5" hidden="1" x14ac:dyDescent="0.2">
      <c r="A59" s="34" t="s">
        <v>151</v>
      </c>
      <c r="B59" s="53" t="s">
        <v>152</v>
      </c>
      <c r="C59" s="36">
        <v>41327</v>
      </c>
      <c r="D59" s="37">
        <v>42774</v>
      </c>
      <c r="E59" s="38">
        <f t="shared" si="11"/>
        <v>48.233333333333334</v>
      </c>
      <c r="F59" s="46">
        <f t="shared" si="1"/>
        <v>1.6666666666666666E-2</v>
      </c>
      <c r="G59" s="47">
        <v>197000</v>
      </c>
      <c r="H59" s="48">
        <f t="shared" si="16"/>
        <v>38633.888888888876</v>
      </c>
      <c r="I59" s="49">
        <f>+INDICES!G49/INDICES!E47</f>
        <v>1.0501419110690633</v>
      </c>
      <c r="J59" s="48">
        <f t="shared" si="17"/>
        <v>40571.065909807614</v>
      </c>
      <c r="K59" s="47">
        <v>110000</v>
      </c>
      <c r="L59" s="47">
        <f t="shared" si="18"/>
        <v>69428.934090192386</v>
      </c>
      <c r="M59" s="48">
        <f>+L3</f>
        <v>87643.8</v>
      </c>
      <c r="N59" s="48">
        <f t="shared" si="19"/>
        <v>-18214.865909807617</v>
      </c>
      <c r="O59" s="50">
        <f t="shared" si="4"/>
        <v>0</v>
      </c>
      <c r="P59" s="35" t="s">
        <v>74</v>
      </c>
      <c r="Q59" s="35" t="s">
        <v>63</v>
      </c>
      <c r="R59" s="35" t="s">
        <v>35</v>
      </c>
      <c r="S59" s="51" t="s">
        <v>333</v>
      </c>
    </row>
    <row r="60" spans="1:19" ht="25.5" hidden="1" x14ac:dyDescent="0.2">
      <c r="A60" s="34" t="s">
        <v>153</v>
      </c>
      <c r="B60" s="53" t="s">
        <v>154</v>
      </c>
      <c r="C60" s="36">
        <v>40367</v>
      </c>
      <c r="D60" s="37">
        <v>42794</v>
      </c>
      <c r="E60" s="38">
        <f t="shared" si="11"/>
        <v>80.900000000000006</v>
      </c>
      <c r="F60" s="46">
        <f t="shared" si="1"/>
        <v>1.6666666666666666E-2</v>
      </c>
      <c r="G60" s="47">
        <v>148215.18</v>
      </c>
      <c r="H60" s="48">
        <f t="shared" si="16"/>
        <v>-51628.287699999986</v>
      </c>
      <c r="I60" s="49">
        <f>+INDICES!G49/INDICES!F46</f>
        <v>1.0888937785356729</v>
      </c>
      <c r="J60" s="48">
        <f t="shared" si="17"/>
        <v>-56217.72127297979</v>
      </c>
      <c r="K60" s="98">
        <v>80000</v>
      </c>
      <c r="L60" s="47">
        <f t="shared" si="18"/>
        <v>136217.7212729798</v>
      </c>
      <c r="M60" s="48">
        <f>+L3</f>
        <v>87643.8</v>
      </c>
      <c r="N60" s="48">
        <f t="shared" si="19"/>
        <v>48573.921272979802</v>
      </c>
      <c r="O60" s="50">
        <f t="shared" si="4"/>
        <v>9714.7842545959611</v>
      </c>
      <c r="P60" s="35" t="s">
        <v>43</v>
      </c>
      <c r="Q60" s="35" t="s">
        <v>44</v>
      </c>
      <c r="R60" s="35" t="s">
        <v>35</v>
      </c>
      <c r="S60" s="51" t="s">
        <v>334</v>
      </c>
    </row>
    <row r="61" spans="1:19" ht="25.5" hidden="1" x14ac:dyDescent="0.2">
      <c r="A61" s="34" t="s">
        <v>155</v>
      </c>
      <c r="B61" s="53" t="s">
        <v>156</v>
      </c>
      <c r="C61" s="36">
        <v>42088</v>
      </c>
      <c r="D61" s="37">
        <v>42793</v>
      </c>
      <c r="E61" s="38">
        <f t="shared" si="11"/>
        <v>23.5</v>
      </c>
      <c r="F61" s="46">
        <f t="shared" si="1"/>
        <v>1.6666666666666666E-2</v>
      </c>
      <c r="G61" s="47">
        <v>182900</v>
      </c>
      <c r="H61" s="48">
        <f t="shared" si="16"/>
        <v>111264.16666666666</v>
      </c>
      <c r="I61" s="49">
        <f>+INDICES!G49/INDICES!D45</f>
        <v>1.1365985300872761</v>
      </c>
      <c r="J61" s="48">
        <f t="shared" si="17"/>
        <v>126462.68828471903</v>
      </c>
      <c r="K61" s="47">
        <v>142500</v>
      </c>
      <c r="L61" s="47">
        <f t="shared" si="18"/>
        <v>16037.311715280972</v>
      </c>
      <c r="M61" s="48">
        <f>+L3</f>
        <v>87643.8</v>
      </c>
      <c r="N61" s="48">
        <f t="shared" si="19"/>
        <v>-71606.488284719031</v>
      </c>
      <c r="O61" s="50">
        <f t="shared" si="4"/>
        <v>0</v>
      </c>
      <c r="P61" s="35" t="s">
        <v>66</v>
      </c>
      <c r="Q61" s="35" t="s">
        <v>67</v>
      </c>
      <c r="R61" s="35" t="s">
        <v>35</v>
      </c>
      <c r="S61" s="51" t="s">
        <v>335</v>
      </c>
    </row>
    <row r="62" spans="1:19" ht="25.5" hidden="1" x14ac:dyDescent="0.2">
      <c r="A62" s="34" t="s">
        <v>157</v>
      </c>
      <c r="B62" s="53" t="s">
        <v>158</v>
      </c>
      <c r="C62" s="36">
        <v>41912</v>
      </c>
      <c r="D62" s="37">
        <v>42797</v>
      </c>
      <c r="E62" s="38">
        <f t="shared" si="11"/>
        <v>29.5</v>
      </c>
      <c r="F62" s="46">
        <f t="shared" si="1"/>
        <v>1.6666666666666666E-2</v>
      </c>
      <c r="G62" s="47">
        <v>286600</v>
      </c>
      <c r="H62" s="48">
        <f t="shared" si="16"/>
        <v>145688.33333333331</v>
      </c>
      <c r="I62" s="49">
        <f>+INDICES!G49/INDICES!J47</f>
        <v>1.0470036495706905</v>
      </c>
      <c r="J62" s="48">
        <f t="shared" si="17"/>
        <v>152536.21669987126</v>
      </c>
      <c r="K62" s="47">
        <v>190000</v>
      </c>
      <c r="L62" s="47">
        <f t="shared" si="18"/>
        <v>37463.783300128736</v>
      </c>
      <c r="M62" s="48">
        <f>+L3</f>
        <v>87643.8</v>
      </c>
      <c r="N62" s="48">
        <f t="shared" si="19"/>
        <v>-50180.016699871267</v>
      </c>
      <c r="O62" s="50">
        <f t="shared" si="4"/>
        <v>0</v>
      </c>
      <c r="P62" s="35" t="s">
        <v>159</v>
      </c>
      <c r="Q62" s="35" t="s">
        <v>67</v>
      </c>
      <c r="R62" s="35" t="s">
        <v>35</v>
      </c>
      <c r="S62" s="51" t="s">
        <v>318</v>
      </c>
    </row>
    <row r="63" spans="1:19" ht="25.5" hidden="1" x14ac:dyDescent="0.2">
      <c r="A63" s="34" t="s">
        <v>160</v>
      </c>
      <c r="B63" s="53" t="s">
        <v>161</v>
      </c>
      <c r="C63" s="36">
        <v>41943</v>
      </c>
      <c r="D63" s="37">
        <v>42800</v>
      </c>
      <c r="E63" s="38">
        <f t="shared" si="11"/>
        <v>28.566666666666666</v>
      </c>
      <c r="F63" s="46">
        <f t="shared" si="1"/>
        <v>1.6666666666666666E-2</v>
      </c>
      <c r="G63" s="47">
        <v>279900</v>
      </c>
      <c r="H63" s="48">
        <f t="shared" si="16"/>
        <v>146636.5</v>
      </c>
      <c r="I63" s="49">
        <f>+INDICES!G49/INDICES!C48</f>
        <v>1.024285492522897</v>
      </c>
      <c r="J63" s="48">
        <f t="shared" si="17"/>
        <v>150197.63962433379</v>
      </c>
      <c r="K63" s="47">
        <v>182500</v>
      </c>
      <c r="L63" s="47">
        <f t="shared" si="18"/>
        <v>32302.360375666205</v>
      </c>
      <c r="M63" s="48">
        <f>+L3</f>
        <v>87643.8</v>
      </c>
      <c r="N63" s="48">
        <f t="shared" si="19"/>
        <v>-55341.439624333798</v>
      </c>
      <c r="O63" s="50">
        <f t="shared" si="4"/>
        <v>0</v>
      </c>
      <c r="P63" s="35" t="s">
        <v>74</v>
      </c>
      <c r="Q63" s="35" t="s">
        <v>63</v>
      </c>
      <c r="R63" s="35" t="s">
        <v>35</v>
      </c>
      <c r="S63" s="51" t="s">
        <v>331</v>
      </c>
    </row>
    <row r="64" spans="1:19" ht="25.5" hidden="1" x14ac:dyDescent="0.2">
      <c r="A64" s="34" t="s">
        <v>162</v>
      </c>
      <c r="B64" s="53" t="s">
        <v>163</v>
      </c>
      <c r="C64" s="36">
        <v>41454</v>
      </c>
      <c r="D64" s="37">
        <v>42800</v>
      </c>
      <c r="E64" s="38">
        <f t="shared" si="11"/>
        <v>44.866666666666667</v>
      </c>
      <c r="F64" s="46">
        <f t="shared" si="1"/>
        <v>1.6666666666666666E-2</v>
      </c>
      <c r="G64" s="47">
        <v>223300</v>
      </c>
      <c r="H64" s="48">
        <f>G64-(G64*F64*E64)</f>
        <v>56321.222222222219</v>
      </c>
      <c r="I64" s="49">
        <f>+INDICES!G49/INDICES!G48</f>
        <v>1.0259666217476935</v>
      </c>
      <c r="J64" s="48">
        <f>+H64*I64</f>
        <v>57783.694096034451</v>
      </c>
      <c r="K64" s="98">
        <v>162610</v>
      </c>
      <c r="L64" s="47">
        <f>+K64-J64</f>
        <v>104826.30590396555</v>
      </c>
      <c r="M64" s="48">
        <f>+L3</f>
        <v>87643.8</v>
      </c>
      <c r="N64" s="48">
        <f>+L64-M64</f>
        <v>17182.505903965546</v>
      </c>
      <c r="O64" s="50">
        <f t="shared" si="4"/>
        <v>3436.5011807931096</v>
      </c>
      <c r="P64" s="35" t="s">
        <v>66</v>
      </c>
      <c r="Q64" s="35" t="s">
        <v>67</v>
      </c>
      <c r="R64" s="35" t="s">
        <v>35</v>
      </c>
      <c r="S64" s="51" t="s">
        <v>336</v>
      </c>
    </row>
    <row r="65" spans="1:19" x14ac:dyDescent="0.2">
      <c r="A65" s="34" t="s">
        <v>164</v>
      </c>
      <c r="B65" s="53" t="s">
        <v>165</v>
      </c>
      <c r="C65" s="36">
        <v>41636</v>
      </c>
      <c r="D65" s="37">
        <v>42801</v>
      </c>
      <c r="E65" s="38">
        <f t="shared" si="11"/>
        <v>38.833333333333336</v>
      </c>
      <c r="F65" s="46">
        <f t="shared" si="1"/>
        <v>1.6666666666666666E-2</v>
      </c>
      <c r="G65" s="47">
        <v>380900</v>
      </c>
      <c r="H65" s="48">
        <f>G65-(G65*F65*E65)</f>
        <v>134373.05555555556</v>
      </c>
      <c r="I65" s="49">
        <f>+INDICES!G49/INDICES!K45</f>
        <v>1.1231949159755257</v>
      </c>
      <c r="J65" s="48">
        <f>+H65*I65</f>
        <v>150927.13284409686</v>
      </c>
      <c r="K65" s="99">
        <v>235000</v>
      </c>
      <c r="L65" s="47">
        <f>+K65-J65</f>
        <v>84072.867155903135</v>
      </c>
      <c r="M65" s="48">
        <f>+L3</f>
        <v>87643.8</v>
      </c>
      <c r="N65" s="48">
        <f>+L65-M65</f>
        <v>-3570.9328440968675</v>
      </c>
      <c r="O65" s="50">
        <f t="shared" si="4"/>
        <v>0</v>
      </c>
      <c r="P65" s="35" t="s">
        <v>43</v>
      </c>
      <c r="Q65" s="35" t="s">
        <v>44</v>
      </c>
      <c r="R65" s="35" t="s">
        <v>35</v>
      </c>
      <c r="S65" s="51" t="s">
        <v>328</v>
      </c>
    </row>
    <row r="66" spans="1:19" hidden="1" x14ac:dyDescent="0.2">
      <c r="A66" s="34" t="s">
        <v>166</v>
      </c>
      <c r="B66" s="53" t="s">
        <v>167</v>
      </c>
      <c r="C66" s="36">
        <v>42273</v>
      </c>
      <c r="D66" s="37">
        <v>42802</v>
      </c>
      <c r="E66" s="38">
        <f t="shared" si="11"/>
        <v>17.633333333333333</v>
      </c>
      <c r="F66" s="46">
        <f t="shared" si="1"/>
        <v>1.6666666666666666E-2</v>
      </c>
      <c r="G66" s="47">
        <v>216100</v>
      </c>
      <c r="H66" s="48">
        <f>G66-(G66*F66*E66)</f>
        <v>152590.61111111112</v>
      </c>
      <c r="I66" s="49">
        <f>+INDICES!G49/INDICES!D50</f>
        <v>0.9477489267303979</v>
      </c>
      <c r="J66" s="48">
        <f>+H66*I66</f>
        <v>144617.58790969109</v>
      </c>
      <c r="K66" s="47">
        <v>170000</v>
      </c>
      <c r="L66" s="47">
        <f>+K66-J66</f>
        <v>25382.412090308906</v>
      </c>
      <c r="M66" s="48">
        <f>+L3</f>
        <v>87643.8</v>
      </c>
      <c r="N66" s="48">
        <f>+L66-M66</f>
        <v>-62261.387909691097</v>
      </c>
      <c r="O66" s="50">
        <f t="shared" si="4"/>
        <v>0</v>
      </c>
      <c r="P66" s="35" t="s">
        <v>38</v>
      </c>
      <c r="Q66" s="35" t="s">
        <v>34</v>
      </c>
      <c r="R66" s="35" t="s">
        <v>35</v>
      </c>
      <c r="S66" s="51" t="s">
        <v>331</v>
      </c>
    </row>
    <row r="67" spans="1:19" ht="25.5" x14ac:dyDescent="0.2">
      <c r="A67" s="34" t="s">
        <v>168</v>
      </c>
      <c r="B67" s="53" t="s">
        <v>59</v>
      </c>
      <c r="C67" s="36">
        <v>40989</v>
      </c>
      <c r="D67" s="37">
        <v>42803</v>
      </c>
      <c r="E67" s="38">
        <f t="shared" si="11"/>
        <v>60.466666666666669</v>
      </c>
      <c r="F67" s="46">
        <f t="shared" si="1"/>
        <v>1.6666666666666666E-2</v>
      </c>
      <c r="G67" s="47">
        <v>634900</v>
      </c>
      <c r="H67" s="48">
        <f>G67-(G67*F67*E67)</f>
        <v>-4938.111111111124</v>
      </c>
      <c r="I67" s="49">
        <f>+INDICES!G49/INDICES!E44</f>
        <v>1.1783088782404239</v>
      </c>
      <c r="J67" s="48">
        <f>+H67*I67</f>
        <v>-5818.6201639599212</v>
      </c>
      <c r="K67" s="99">
        <v>315000</v>
      </c>
      <c r="L67" s="47">
        <f>+K67-J67</f>
        <v>320818.62016395992</v>
      </c>
      <c r="M67" s="48">
        <f>+L3</f>
        <v>87643.8</v>
      </c>
      <c r="N67" s="48">
        <f>+L67-M67</f>
        <v>233174.82016395993</v>
      </c>
      <c r="O67" s="50">
        <f t="shared" si="4"/>
        <v>46634.964032791991</v>
      </c>
      <c r="P67" s="35" t="s">
        <v>169</v>
      </c>
      <c r="Q67" s="35" t="s">
        <v>34</v>
      </c>
      <c r="R67" s="35" t="s">
        <v>35</v>
      </c>
      <c r="S67" s="51" t="s">
        <v>318</v>
      </c>
    </row>
    <row r="68" spans="1:19" hidden="1" x14ac:dyDescent="0.2">
      <c r="A68" s="34" t="s">
        <v>170</v>
      </c>
      <c r="B68" s="53" t="s">
        <v>171</v>
      </c>
      <c r="C68" s="36">
        <v>42075</v>
      </c>
      <c r="D68" s="37">
        <v>42804</v>
      </c>
      <c r="E68" s="38">
        <f t="shared" si="11"/>
        <v>24.3</v>
      </c>
      <c r="F68" s="46">
        <f t="shared" si="1"/>
        <v>1.6666666666666666E-2</v>
      </c>
      <c r="G68" s="47">
        <v>165900</v>
      </c>
      <c r="H68" s="48">
        <f t="shared" ref="H68:H99" si="20">G68-(G68*F68*E68)</f>
        <v>98710.5</v>
      </c>
      <c r="I68" s="49">
        <f>+INDICES!G49/INDICES!E47</f>
        <v>1.0501419110690633</v>
      </c>
      <c r="J68" s="48">
        <f t="shared" ref="J68:J99" si="21">+H68*I68</f>
        <v>103660.03311258277</v>
      </c>
      <c r="K68" s="47">
        <v>115000</v>
      </c>
      <c r="L68" s="47">
        <f t="shared" ref="L68:L99" si="22">+K68-J68</f>
        <v>11339.966887417235</v>
      </c>
      <c r="M68" s="48">
        <f>+L3</f>
        <v>87643.8</v>
      </c>
      <c r="N68" s="48">
        <f t="shared" ref="N68:N99" si="23">+L68-M68</f>
        <v>-76303.833112582768</v>
      </c>
      <c r="O68" s="50">
        <f t="shared" si="4"/>
        <v>0</v>
      </c>
      <c r="P68" s="35" t="s">
        <v>172</v>
      </c>
      <c r="Q68" s="35" t="s">
        <v>44</v>
      </c>
      <c r="R68" s="35" t="s">
        <v>35</v>
      </c>
      <c r="S68" s="51" t="s">
        <v>318</v>
      </c>
    </row>
    <row r="69" spans="1:19" hidden="1" x14ac:dyDescent="0.2">
      <c r="A69" s="34" t="s">
        <v>173</v>
      </c>
      <c r="B69" s="53" t="s">
        <v>174</v>
      </c>
      <c r="C69" s="36">
        <v>42090</v>
      </c>
      <c r="D69" s="37">
        <v>42802</v>
      </c>
      <c r="E69" s="38">
        <f t="shared" si="11"/>
        <v>23.733333333333334</v>
      </c>
      <c r="F69" s="46">
        <f t="shared" si="1"/>
        <v>1.6666666666666666E-2</v>
      </c>
      <c r="G69" s="47">
        <v>271100</v>
      </c>
      <c r="H69" s="48">
        <f t="shared" si="20"/>
        <v>163864.88888888888</v>
      </c>
      <c r="I69" s="49">
        <f>+INDICES!G49/INDICES!N46</f>
        <v>1.0651253721706067</v>
      </c>
      <c r="J69" s="48">
        <f t="shared" si="21"/>
        <v>174536.65076347286</v>
      </c>
      <c r="K69" s="47">
        <v>190000</v>
      </c>
      <c r="L69" s="47">
        <f t="shared" si="22"/>
        <v>15463.349236527138</v>
      </c>
      <c r="M69" s="48">
        <f>+L3</f>
        <v>87643.8</v>
      </c>
      <c r="N69" s="48">
        <f t="shared" si="23"/>
        <v>-72180.450763472865</v>
      </c>
      <c r="O69" s="50">
        <f t="shared" si="4"/>
        <v>0</v>
      </c>
      <c r="P69" s="35" t="s">
        <v>62</v>
      </c>
      <c r="Q69" s="35" t="s">
        <v>63</v>
      </c>
      <c r="R69" s="35" t="s">
        <v>35</v>
      </c>
      <c r="S69" s="51" t="s">
        <v>327</v>
      </c>
    </row>
    <row r="70" spans="1:19" ht="25.5" hidden="1" x14ac:dyDescent="0.2">
      <c r="A70" s="34" t="s">
        <v>175</v>
      </c>
      <c r="B70" s="53" t="s">
        <v>176</v>
      </c>
      <c r="C70" s="36">
        <v>40161</v>
      </c>
      <c r="D70" s="37">
        <v>42807</v>
      </c>
      <c r="E70" s="38">
        <f t="shared" si="11"/>
        <v>88.2</v>
      </c>
      <c r="F70" s="46">
        <f t="shared" si="1"/>
        <v>1.6666666666666666E-2</v>
      </c>
      <c r="G70" s="47">
        <v>370400</v>
      </c>
      <c r="H70" s="48">
        <f t="shared" si="20"/>
        <v>-174088</v>
      </c>
      <c r="I70" s="49">
        <f>+INDICES!G49/INDICES!H47</f>
        <v>1.0536541225315377</v>
      </c>
      <c r="J70" s="48">
        <f t="shared" si="21"/>
        <v>-183428.53888327032</v>
      </c>
      <c r="K70" s="98">
        <v>155000</v>
      </c>
      <c r="L70" s="47">
        <f t="shared" si="22"/>
        <v>338428.53888327035</v>
      </c>
      <c r="M70" s="48">
        <f>+L3</f>
        <v>87643.8</v>
      </c>
      <c r="N70" s="48">
        <f t="shared" si="23"/>
        <v>250784.73888327036</v>
      </c>
      <c r="O70" s="50">
        <f t="shared" si="4"/>
        <v>50156.947776654073</v>
      </c>
      <c r="P70" s="35" t="s">
        <v>38</v>
      </c>
      <c r="Q70" s="35" t="s">
        <v>34</v>
      </c>
      <c r="R70" s="35" t="s">
        <v>35</v>
      </c>
      <c r="S70" s="51" t="s">
        <v>337</v>
      </c>
    </row>
    <row r="71" spans="1:19" ht="25.5" x14ac:dyDescent="0.2">
      <c r="A71" s="34" t="s">
        <v>177</v>
      </c>
      <c r="B71" s="53" t="s">
        <v>178</v>
      </c>
      <c r="C71" s="36">
        <v>41621</v>
      </c>
      <c r="D71" s="37">
        <v>42807</v>
      </c>
      <c r="E71" s="38">
        <f t="shared" ref="E71:E102" si="24">(D71-C71)/30</f>
        <v>39.533333333333331</v>
      </c>
      <c r="F71" s="46">
        <f t="shared" si="1"/>
        <v>1.6666666666666666E-2</v>
      </c>
      <c r="G71" s="47">
        <v>489060</v>
      </c>
      <c r="H71" s="48">
        <f t="shared" si="20"/>
        <v>166823.79999999999</v>
      </c>
      <c r="I71" s="49">
        <f>+INDICES!G49/INDICES!G47</f>
        <v>1.0554800181289823</v>
      </c>
      <c r="J71" s="48">
        <f t="shared" si="21"/>
        <v>176079.18744834571</v>
      </c>
      <c r="K71" s="99">
        <v>300000</v>
      </c>
      <c r="L71" s="47">
        <f t="shared" si="22"/>
        <v>123920.81255165429</v>
      </c>
      <c r="M71" s="48">
        <f>+L3</f>
        <v>87643.8</v>
      </c>
      <c r="N71" s="48">
        <f t="shared" si="23"/>
        <v>36277.01255165429</v>
      </c>
      <c r="O71" s="50">
        <f t="shared" si="4"/>
        <v>7255.4025103308586</v>
      </c>
      <c r="P71" s="35" t="s">
        <v>66</v>
      </c>
      <c r="Q71" s="35" t="s">
        <v>67</v>
      </c>
      <c r="R71" s="35" t="s">
        <v>35</v>
      </c>
      <c r="S71" s="51" t="s">
        <v>335</v>
      </c>
    </row>
    <row r="72" spans="1:19" hidden="1" x14ac:dyDescent="0.2">
      <c r="A72" s="34" t="s">
        <v>179</v>
      </c>
      <c r="B72" s="53" t="s">
        <v>180</v>
      </c>
      <c r="C72" s="36">
        <v>42727</v>
      </c>
      <c r="D72" s="37">
        <v>42808</v>
      </c>
      <c r="E72" s="38">
        <f t="shared" si="24"/>
        <v>2.7</v>
      </c>
      <c r="F72" s="46">
        <f t="shared" si="1"/>
        <v>1.6666666666666666E-2</v>
      </c>
      <c r="G72" s="47">
        <v>165500</v>
      </c>
      <c r="H72" s="48">
        <f t="shared" si="20"/>
        <v>158052.5</v>
      </c>
      <c r="I72" s="49">
        <f>+INDICES!G49/INDICES!E48</f>
        <v>1.0182002108926933</v>
      </c>
      <c r="J72" s="48">
        <f t="shared" si="21"/>
        <v>160929.08883211741</v>
      </c>
      <c r="K72" s="47">
        <v>125000</v>
      </c>
      <c r="L72" s="47">
        <f t="shared" si="22"/>
        <v>-35929.088832117413</v>
      </c>
      <c r="M72" s="48">
        <f>+L3</f>
        <v>87643.8</v>
      </c>
      <c r="N72" s="48">
        <f t="shared" si="23"/>
        <v>-123572.88883211742</v>
      </c>
      <c r="O72" s="50">
        <f t="shared" si="4"/>
        <v>0</v>
      </c>
      <c r="P72" s="35" t="s">
        <v>74</v>
      </c>
      <c r="Q72" s="35" t="s">
        <v>63</v>
      </c>
      <c r="R72" s="35" t="s">
        <v>35</v>
      </c>
      <c r="S72" s="51" t="s">
        <v>338</v>
      </c>
    </row>
    <row r="73" spans="1:19" hidden="1" x14ac:dyDescent="0.2">
      <c r="A73" s="34" t="s">
        <v>181</v>
      </c>
      <c r="B73" s="53" t="s">
        <v>182</v>
      </c>
      <c r="C73" s="36">
        <v>41972</v>
      </c>
      <c r="D73" s="37">
        <v>42808</v>
      </c>
      <c r="E73" s="38">
        <f t="shared" si="24"/>
        <v>27.866666666666667</v>
      </c>
      <c r="F73" s="46">
        <f t="shared" si="1"/>
        <v>1.6666666666666666E-2</v>
      </c>
      <c r="G73" s="47">
        <v>178000</v>
      </c>
      <c r="H73" s="48">
        <f t="shared" si="20"/>
        <v>95328.888888888891</v>
      </c>
      <c r="I73" s="49">
        <f>+INDICES!G49/INDICES!I48</f>
        <v>1.0227507577845136</v>
      </c>
      <c r="J73" s="48">
        <f t="shared" si="21"/>
        <v>97497.693349866808</v>
      </c>
      <c r="K73" s="47">
        <v>118000</v>
      </c>
      <c r="L73" s="47">
        <f t="shared" si="22"/>
        <v>20502.306650133192</v>
      </c>
      <c r="M73" s="48">
        <f>+L3</f>
        <v>87643.8</v>
      </c>
      <c r="N73" s="48">
        <f t="shared" si="23"/>
        <v>-67141.493349866811</v>
      </c>
      <c r="O73" s="50">
        <f t="shared" si="4"/>
        <v>0</v>
      </c>
      <c r="P73" s="35" t="s">
        <v>74</v>
      </c>
      <c r="Q73" s="35" t="s">
        <v>63</v>
      </c>
      <c r="R73" s="35" t="s">
        <v>35</v>
      </c>
      <c r="S73" s="51" t="s">
        <v>318</v>
      </c>
    </row>
    <row r="74" spans="1:19" s="68" customFormat="1" hidden="1" x14ac:dyDescent="0.2">
      <c r="A74" s="59" t="s">
        <v>183</v>
      </c>
      <c r="B74" s="60" t="s">
        <v>71</v>
      </c>
      <c r="C74" s="61"/>
      <c r="D74" s="61"/>
      <c r="E74" s="62">
        <f t="shared" si="24"/>
        <v>0</v>
      </c>
      <c r="F74" s="63">
        <f t="shared" si="1"/>
        <v>1.6666666666666666E-2</v>
      </c>
      <c r="G74" s="64"/>
      <c r="H74" s="65"/>
      <c r="I74" s="66"/>
      <c r="J74" s="65"/>
      <c r="K74" s="64"/>
      <c r="L74" s="64">
        <f t="shared" si="22"/>
        <v>0</v>
      </c>
      <c r="M74" s="65">
        <f>+L3</f>
        <v>87643.8</v>
      </c>
      <c r="N74" s="65">
        <f t="shared" si="23"/>
        <v>-87643.8</v>
      </c>
      <c r="O74" s="65">
        <f t="shared" si="4"/>
        <v>0</v>
      </c>
      <c r="P74" s="59"/>
      <c r="Q74" s="60"/>
      <c r="R74" s="59"/>
      <c r="S74" s="67" t="s">
        <v>71</v>
      </c>
    </row>
    <row r="75" spans="1:19" ht="25.5" hidden="1" x14ac:dyDescent="0.2">
      <c r="A75" s="34" t="s">
        <v>184</v>
      </c>
      <c r="B75" s="53" t="s">
        <v>185</v>
      </c>
      <c r="C75" s="36">
        <v>41603</v>
      </c>
      <c r="D75" s="37">
        <v>42808</v>
      </c>
      <c r="E75" s="38">
        <f t="shared" si="24"/>
        <v>40.166666666666664</v>
      </c>
      <c r="F75" s="46">
        <f t="shared" si="1"/>
        <v>1.6666666666666666E-2</v>
      </c>
      <c r="G75" s="47">
        <v>206000</v>
      </c>
      <c r="H75" s="48">
        <f t="shared" si="20"/>
        <v>68094.444444444438</v>
      </c>
      <c r="I75" s="49">
        <f>+INDICES!G49/INDICES!N47</f>
        <v>1.0233588088816894</v>
      </c>
      <c r="J75" s="48">
        <f t="shared" si="21"/>
        <v>69685.049558127037</v>
      </c>
      <c r="K75" s="47">
        <v>145174</v>
      </c>
      <c r="L75" s="47">
        <f t="shared" si="22"/>
        <v>75488.950441872963</v>
      </c>
      <c r="M75" s="48">
        <f>+L3</f>
        <v>87643.8</v>
      </c>
      <c r="N75" s="48">
        <f t="shared" si="23"/>
        <v>-12154.84955812704</v>
      </c>
      <c r="O75" s="50">
        <f t="shared" si="4"/>
        <v>0</v>
      </c>
      <c r="P75" s="35" t="s">
        <v>66</v>
      </c>
      <c r="Q75" s="35" t="s">
        <v>67</v>
      </c>
      <c r="R75" s="35" t="s">
        <v>35</v>
      </c>
      <c r="S75" s="51" t="s">
        <v>336</v>
      </c>
    </row>
    <row r="76" spans="1:19" ht="25.5" x14ac:dyDescent="0.2">
      <c r="A76" s="34" t="s">
        <v>186</v>
      </c>
      <c r="B76" s="53" t="s">
        <v>187</v>
      </c>
      <c r="C76" s="36">
        <v>41794</v>
      </c>
      <c r="D76" s="37">
        <v>42810</v>
      </c>
      <c r="E76" s="38">
        <f t="shared" si="24"/>
        <v>33.866666666666667</v>
      </c>
      <c r="F76" s="46">
        <f t="shared" si="1"/>
        <v>1.6666666666666666E-2</v>
      </c>
      <c r="G76" s="47">
        <v>428994</v>
      </c>
      <c r="H76" s="48">
        <f t="shared" si="20"/>
        <v>186850.72</v>
      </c>
      <c r="I76" s="49">
        <f>+INDICES!G49/INDICES!D46</f>
        <v>1.0976083099216325</v>
      </c>
      <c r="J76" s="48">
        <f t="shared" si="21"/>
        <v>205088.90298684017</v>
      </c>
      <c r="K76" s="99">
        <v>265250</v>
      </c>
      <c r="L76" s="47">
        <f t="shared" si="22"/>
        <v>60161.09701315983</v>
      </c>
      <c r="M76" s="48">
        <f>+L3</f>
        <v>87643.8</v>
      </c>
      <c r="N76" s="48">
        <f t="shared" si="23"/>
        <v>-27482.702986840173</v>
      </c>
      <c r="O76" s="50">
        <f t="shared" si="4"/>
        <v>0</v>
      </c>
      <c r="P76" s="35" t="s">
        <v>66</v>
      </c>
      <c r="Q76" s="35" t="s">
        <v>67</v>
      </c>
      <c r="R76" s="35" t="s">
        <v>35</v>
      </c>
      <c r="S76" s="51" t="s">
        <v>336</v>
      </c>
    </row>
    <row r="77" spans="1:19" ht="25.5" hidden="1" x14ac:dyDescent="0.2">
      <c r="A77" s="34" t="s">
        <v>188</v>
      </c>
      <c r="B77" s="53" t="s">
        <v>189</v>
      </c>
      <c r="C77" s="36">
        <v>41615</v>
      </c>
      <c r="D77" s="37">
        <v>42810</v>
      </c>
      <c r="E77" s="38">
        <f t="shared" si="24"/>
        <v>39.833333333333336</v>
      </c>
      <c r="F77" s="46">
        <f t="shared" si="1"/>
        <v>1.6666666666666666E-2</v>
      </c>
      <c r="G77" s="47">
        <v>340052</v>
      </c>
      <c r="H77" s="48">
        <f t="shared" si="20"/>
        <v>114295.25555555557</v>
      </c>
      <c r="I77" s="49">
        <f>+INDICES!G49/INDICES!C45</f>
        <v>1.1389091327528671</v>
      </c>
      <c r="J77" s="48">
        <f t="shared" si="21"/>
        <v>130171.91038254512</v>
      </c>
      <c r="K77" s="47">
        <v>200000</v>
      </c>
      <c r="L77" s="47">
        <f t="shared" si="22"/>
        <v>69828.089617454883</v>
      </c>
      <c r="M77" s="48">
        <f>+L3</f>
        <v>87643.8</v>
      </c>
      <c r="N77" s="48">
        <f t="shared" si="23"/>
        <v>-17815.71038254512</v>
      </c>
      <c r="O77" s="50">
        <f t="shared" si="4"/>
        <v>0</v>
      </c>
      <c r="P77" s="35" t="s">
        <v>66</v>
      </c>
      <c r="Q77" s="35" t="s">
        <v>67</v>
      </c>
      <c r="R77" s="35" t="s">
        <v>35</v>
      </c>
      <c r="S77" s="51" t="s">
        <v>336</v>
      </c>
    </row>
    <row r="78" spans="1:19" ht="25.5" hidden="1" x14ac:dyDescent="0.2">
      <c r="A78" s="34" t="s">
        <v>190</v>
      </c>
      <c r="B78" s="53" t="s">
        <v>191</v>
      </c>
      <c r="C78" s="36">
        <v>41376</v>
      </c>
      <c r="D78" s="37">
        <v>42810</v>
      </c>
      <c r="E78" s="38">
        <f t="shared" si="24"/>
        <v>47.8</v>
      </c>
      <c r="F78" s="46">
        <f>0.2/12</f>
        <v>1.6666666666666666E-2</v>
      </c>
      <c r="G78" s="47">
        <v>204000</v>
      </c>
      <c r="H78" s="48">
        <f t="shared" si="20"/>
        <v>41480</v>
      </c>
      <c r="I78" s="49">
        <f>+INDICES!G49/INDICES!H48</f>
        <v>1.0242501595405233</v>
      </c>
      <c r="J78" s="48">
        <f t="shared" si="21"/>
        <v>42485.896617740909</v>
      </c>
      <c r="K78" s="47">
        <v>121700</v>
      </c>
      <c r="L78" s="47">
        <f t="shared" si="22"/>
        <v>79214.103382259083</v>
      </c>
      <c r="M78" s="48">
        <f>+L3</f>
        <v>87643.8</v>
      </c>
      <c r="N78" s="48">
        <f t="shared" si="23"/>
        <v>-8429.6966177409195</v>
      </c>
      <c r="O78" s="50">
        <f t="shared" si="4"/>
        <v>0</v>
      </c>
      <c r="P78" s="35" t="s">
        <v>66</v>
      </c>
      <c r="Q78" s="35" t="s">
        <v>67</v>
      </c>
      <c r="R78" s="35" t="s">
        <v>35</v>
      </c>
      <c r="S78" s="51" t="s">
        <v>336</v>
      </c>
    </row>
    <row r="79" spans="1:19" ht="25.5" hidden="1" x14ac:dyDescent="0.2">
      <c r="A79" s="34" t="s">
        <v>192</v>
      </c>
      <c r="B79" s="53" t="s">
        <v>193</v>
      </c>
      <c r="C79" s="36">
        <v>42422</v>
      </c>
      <c r="D79" s="37">
        <v>42815</v>
      </c>
      <c r="E79" s="38">
        <f t="shared" si="24"/>
        <v>13.1</v>
      </c>
      <c r="F79" s="46">
        <f t="shared" si="1"/>
        <v>1.6666666666666666E-2</v>
      </c>
      <c r="G79" s="47">
        <v>150000</v>
      </c>
      <c r="H79" s="48">
        <f t="shared" si="20"/>
        <v>117250</v>
      </c>
      <c r="I79" s="49">
        <f>+INDICES!G49/INDICES!M45</f>
        <v>1.1099999999999999</v>
      </c>
      <c r="J79" s="48">
        <f t="shared" si="21"/>
        <v>130147.49999999999</v>
      </c>
      <c r="K79" s="47">
        <v>110000</v>
      </c>
      <c r="L79" s="47">
        <f t="shared" si="22"/>
        <v>-20147.499999999985</v>
      </c>
      <c r="M79" s="48">
        <f>+L3</f>
        <v>87643.8</v>
      </c>
      <c r="N79" s="48">
        <f t="shared" si="23"/>
        <v>-107791.29999999999</v>
      </c>
      <c r="O79" s="50">
        <f t="shared" si="4"/>
        <v>0</v>
      </c>
      <c r="P79" s="35" t="s">
        <v>194</v>
      </c>
      <c r="Q79" s="35" t="s">
        <v>67</v>
      </c>
      <c r="R79" s="35" t="s">
        <v>35</v>
      </c>
      <c r="S79" s="51" t="s">
        <v>331</v>
      </c>
    </row>
    <row r="80" spans="1:19" hidden="1" x14ac:dyDescent="0.2">
      <c r="A80" s="34" t="s">
        <v>195</v>
      </c>
      <c r="B80" s="53" t="s">
        <v>196</v>
      </c>
      <c r="C80" s="36">
        <v>40268</v>
      </c>
      <c r="D80" s="37">
        <v>42815</v>
      </c>
      <c r="E80" s="38">
        <f t="shared" si="24"/>
        <v>84.9</v>
      </c>
      <c r="F80" s="46">
        <f t="shared" si="1"/>
        <v>1.6666666666666666E-2</v>
      </c>
      <c r="G80" s="47">
        <v>244800</v>
      </c>
      <c r="H80" s="48">
        <f t="shared" si="20"/>
        <v>-101592</v>
      </c>
      <c r="I80" s="49">
        <f>+INDICES!G49/INDICES!M45</f>
        <v>1.1099999999999999</v>
      </c>
      <c r="J80" s="48">
        <f t="shared" si="21"/>
        <v>-112767.11999999998</v>
      </c>
      <c r="K80" s="98">
        <v>96000</v>
      </c>
      <c r="L80" s="47">
        <f t="shared" si="22"/>
        <v>208767.12</v>
      </c>
      <c r="M80" s="48">
        <f>+L3</f>
        <v>87643.8</v>
      </c>
      <c r="N80" s="48">
        <f t="shared" si="23"/>
        <v>121123.31999999999</v>
      </c>
      <c r="O80" s="50">
        <f t="shared" si="4"/>
        <v>24224.664000000001</v>
      </c>
      <c r="P80" s="35" t="s">
        <v>197</v>
      </c>
      <c r="Q80" s="35" t="s">
        <v>67</v>
      </c>
      <c r="R80" s="35" t="s">
        <v>35</v>
      </c>
      <c r="S80" s="51" t="s">
        <v>330</v>
      </c>
    </row>
    <row r="81" spans="1:19" hidden="1" x14ac:dyDescent="0.2">
      <c r="A81" s="34" t="s">
        <v>198</v>
      </c>
      <c r="B81" s="53" t="s">
        <v>199</v>
      </c>
      <c r="C81" s="36">
        <v>41878</v>
      </c>
      <c r="D81" s="37">
        <v>42822</v>
      </c>
      <c r="E81" s="38">
        <f t="shared" si="24"/>
        <v>31.466666666666665</v>
      </c>
      <c r="F81" s="46">
        <f t="shared" si="1"/>
        <v>1.6666666666666666E-2</v>
      </c>
      <c r="G81" s="47">
        <v>416200</v>
      </c>
      <c r="H81" s="48">
        <f t="shared" si="20"/>
        <v>197926.22222222222</v>
      </c>
      <c r="I81" s="49">
        <f>+INDICES!G49/INDICES!I48</f>
        <v>1.0227507577845136</v>
      </c>
      <c r="J81" s="48">
        <f t="shared" si="21"/>
        <v>202429.1937632038</v>
      </c>
      <c r="K81" s="47">
        <v>215000</v>
      </c>
      <c r="L81" s="47">
        <f t="shared" si="22"/>
        <v>12570.806236796197</v>
      </c>
      <c r="M81" s="48">
        <f>+L3</f>
        <v>87643.8</v>
      </c>
      <c r="N81" s="48">
        <f t="shared" si="23"/>
        <v>-75072.993763203805</v>
      </c>
      <c r="O81" s="50">
        <f t="shared" si="4"/>
        <v>0</v>
      </c>
      <c r="P81" s="35" t="s">
        <v>43</v>
      </c>
      <c r="Q81" s="35" t="s">
        <v>44</v>
      </c>
      <c r="R81" s="35" t="s">
        <v>35</v>
      </c>
      <c r="S81" s="51" t="s">
        <v>338</v>
      </c>
    </row>
    <row r="82" spans="1:19" ht="25.5" hidden="1" x14ac:dyDescent="0.2">
      <c r="A82" s="34" t="s">
        <v>200</v>
      </c>
      <c r="B82" s="53" t="s">
        <v>201</v>
      </c>
      <c r="C82" s="36">
        <v>41475</v>
      </c>
      <c r="D82" s="37">
        <v>42821</v>
      </c>
      <c r="E82" s="38">
        <f t="shared" si="24"/>
        <v>44.866666666666667</v>
      </c>
      <c r="F82" s="46">
        <f t="shared" si="1"/>
        <v>1.6666666666666666E-2</v>
      </c>
      <c r="G82" s="47">
        <v>98000</v>
      </c>
      <c r="H82" s="48">
        <f t="shared" si="20"/>
        <v>24717.777777777781</v>
      </c>
      <c r="I82" s="49">
        <f>+INDICES!H49/INDICES!E49</f>
        <v>0.99348267477711583</v>
      </c>
      <c r="J82" s="48">
        <f t="shared" si="21"/>
        <v>24556.683981213024</v>
      </c>
      <c r="K82" s="47">
        <v>62000</v>
      </c>
      <c r="L82" s="47">
        <f t="shared" si="22"/>
        <v>37443.31601878698</v>
      </c>
      <c r="M82" s="48">
        <f>+L3</f>
        <v>87643.8</v>
      </c>
      <c r="N82" s="48">
        <f t="shared" si="23"/>
        <v>-50200.483981213023</v>
      </c>
      <c r="O82" s="50">
        <f t="shared" si="4"/>
        <v>0</v>
      </c>
      <c r="P82" s="35" t="s">
        <v>202</v>
      </c>
      <c r="Q82" s="35" t="s">
        <v>34</v>
      </c>
      <c r="R82" s="35" t="s">
        <v>35</v>
      </c>
      <c r="S82" s="51" t="s">
        <v>339</v>
      </c>
    </row>
    <row r="83" spans="1:19" hidden="1" x14ac:dyDescent="0.2">
      <c r="A83" s="34" t="s">
        <v>203</v>
      </c>
      <c r="B83" s="53" t="s">
        <v>204</v>
      </c>
      <c r="C83" s="36">
        <v>40542</v>
      </c>
      <c r="D83" s="37">
        <v>42816</v>
      </c>
      <c r="E83" s="38">
        <f t="shared" si="24"/>
        <v>75.8</v>
      </c>
      <c r="F83" s="46">
        <f t="shared" si="1"/>
        <v>1.6666666666666666E-2</v>
      </c>
      <c r="G83" s="47">
        <v>218700</v>
      </c>
      <c r="H83" s="48">
        <f t="shared" si="20"/>
        <v>-57591</v>
      </c>
      <c r="I83" s="49">
        <f>+INDICES!H49/INDICES!L47</f>
        <v>1.0378112753013466</v>
      </c>
      <c r="J83" s="48">
        <f t="shared" si="21"/>
        <v>-59768.589155879854</v>
      </c>
      <c r="K83" s="98">
        <v>55000</v>
      </c>
      <c r="L83" s="47">
        <f t="shared" si="22"/>
        <v>114768.58915587986</v>
      </c>
      <c r="M83" s="48">
        <f>+L3</f>
        <v>87643.8</v>
      </c>
      <c r="N83" s="48">
        <f t="shared" si="23"/>
        <v>27124.789155879858</v>
      </c>
      <c r="O83" s="50">
        <f t="shared" si="4"/>
        <v>5424.9578311759724</v>
      </c>
      <c r="P83" s="35" t="s">
        <v>205</v>
      </c>
      <c r="Q83" s="35" t="s">
        <v>44</v>
      </c>
      <c r="R83" s="35" t="s">
        <v>35</v>
      </c>
      <c r="S83" s="51" t="s">
        <v>320</v>
      </c>
    </row>
    <row r="84" spans="1:19" hidden="1" x14ac:dyDescent="0.2">
      <c r="A84" s="34" t="s">
        <v>206</v>
      </c>
      <c r="B84" s="53" t="s">
        <v>207</v>
      </c>
      <c r="C84" s="36">
        <v>42165</v>
      </c>
      <c r="D84" s="37">
        <v>42822</v>
      </c>
      <c r="E84" s="38">
        <f t="shared" si="24"/>
        <v>21.9</v>
      </c>
      <c r="F84" s="46">
        <f t="shared" si="1"/>
        <v>1.6666666666666666E-2</v>
      </c>
      <c r="G84" s="47">
        <v>310700</v>
      </c>
      <c r="H84" s="48">
        <f t="shared" si="20"/>
        <v>197294.5</v>
      </c>
      <c r="I84" s="49">
        <f>+INDICES!H49/INDICES!L48</f>
        <v>1.0126990886636573</v>
      </c>
      <c r="J84" s="48">
        <f t="shared" si="21"/>
        <v>199799.96034835195</v>
      </c>
      <c r="K84" s="47">
        <v>202500</v>
      </c>
      <c r="L84" s="47">
        <f t="shared" si="22"/>
        <v>2700.0396516480541</v>
      </c>
      <c r="M84" s="48">
        <f>+L3</f>
        <v>87643.8</v>
      </c>
      <c r="N84" s="48">
        <f t="shared" si="23"/>
        <v>-84943.760348351949</v>
      </c>
      <c r="O84" s="50">
        <f t="shared" si="4"/>
        <v>0</v>
      </c>
      <c r="P84" s="35" t="s">
        <v>205</v>
      </c>
      <c r="Q84" s="35" t="s">
        <v>44</v>
      </c>
      <c r="R84" s="35" t="s">
        <v>35</v>
      </c>
      <c r="S84" s="51" t="s">
        <v>340</v>
      </c>
    </row>
    <row r="85" spans="1:19" ht="25.5" hidden="1" x14ac:dyDescent="0.2">
      <c r="A85" s="34" t="s">
        <v>208</v>
      </c>
      <c r="B85" s="53" t="s">
        <v>209</v>
      </c>
      <c r="C85" s="36">
        <v>41575</v>
      </c>
      <c r="D85" s="37">
        <v>42824</v>
      </c>
      <c r="E85" s="38">
        <f t="shared" si="24"/>
        <v>41.633333333333333</v>
      </c>
      <c r="F85" s="46">
        <f t="shared" si="1"/>
        <v>1.6666666666666666E-2</v>
      </c>
      <c r="G85" s="47">
        <v>138368</v>
      </c>
      <c r="H85" s="48">
        <f t="shared" si="20"/>
        <v>42355.982222222228</v>
      </c>
      <c r="I85" s="49">
        <f>+INDICES!H49/INDICES!I47</f>
        <v>1.0519233491400666</v>
      </c>
      <c r="J85" s="48">
        <f t="shared" si="21"/>
        <v>44555.246675317125</v>
      </c>
      <c r="K85" s="47">
        <v>106393</v>
      </c>
      <c r="L85" s="47">
        <f t="shared" si="22"/>
        <v>61837.753324682875</v>
      </c>
      <c r="M85" s="48">
        <f>+L3</f>
        <v>87643.8</v>
      </c>
      <c r="N85" s="48">
        <f t="shared" si="23"/>
        <v>-25806.046675317128</v>
      </c>
      <c r="O85" s="50">
        <f t="shared" si="4"/>
        <v>0</v>
      </c>
      <c r="P85" s="35" t="s">
        <v>66</v>
      </c>
      <c r="Q85" s="35" t="s">
        <v>67</v>
      </c>
      <c r="R85" s="35" t="s">
        <v>35</v>
      </c>
      <c r="S85" s="51" t="s">
        <v>341</v>
      </c>
    </row>
    <row r="86" spans="1:19" ht="25.5" hidden="1" x14ac:dyDescent="0.2">
      <c r="A86" s="34" t="s">
        <v>210</v>
      </c>
      <c r="B86" s="53" t="s">
        <v>211</v>
      </c>
      <c r="C86" s="36">
        <v>41768</v>
      </c>
      <c r="D86" s="37">
        <v>42825</v>
      </c>
      <c r="E86" s="38">
        <f t="shared" si="24"/>
        <v>35.233333333333334</v>
      </c>
      <c r="F86" s="46">
        <f t="shared" si="1"/>
        <v>1.6666666666666666E-2</v>
      </c>
      <c r="G86" s="47">
        <v>151616</v>
      </c>
      <c r="H86" s="48">
        <f t="shared" si="20"/>
        <v>62583.715555555551</v>
      </c>
      <c r="I86" s="49">
        <f>+INDICES!H49/INDICES!H45</f>
        <v>1.1391385157791871</v>
      </c>
      <c r="J86" s="48">
        <f t="shared" si="21"/>
        <v>71291.520849902372</v>
      </c>
      <c r="K86" s="47">
        <v>122000</v>
      </c>
      <c r="L86" s="47">
        <f t="shared" si="22"/>
        <v>50708.479150097628</v>
      </c>
      <c r="M86" s="48">
        <f>+L3</f>
        <v>87643.8</v>
      </c>
      <c r="N86" s="48">
        <f t="shared" si="23"/>
        <v>-36935.320849902375</v>
      </c>
      <c r="O86" s="50">
        <f t="shared" si="4"/>
        <v>0</v>
      </c>
      <c r="P86" s="35" t="s">
        <v>212</v>
      </c>
      <c r="Q86" s="35" t="s">
        <v>67</v>
      </c>
      <c r="R86" s="35" t="s">
        <v>35</v>
      </c>
      <c r="S86" s="51" t="s">
        <v>342</v>
      </c>
    </row>
    <row r="87" spans="1:19" ht="25.5" hidden="1" x14ac:dyDescent="0.2">
      <c r="A87" s="34" t="s">
        <v>213</v>
      </c>
      <c r="B87" s="53" t="s">
        <v>214</v>
      </c>
      <c r="C87" s="36">
        <v>42272</v>
      </c>
      <c r="D87" s="37">
        <v>42826</v>
      </c>
      <c r="E87" s="38">
        <f t="shared" si="24"/>
        <v>18.466666666666665</v>
      </c>
      <c r="F87" s="46">
        <f t="shared" si="1"/>
        <v>1.6666666666666666E-2</v>
      </c>
      <c r="G87" s="47">
        <v>246620</v>
      </c>
      <c r="H87" s="48">
        <f t="shared" si="20"/>
        <v>170715.84444444446</v>
      </c>
      <c r="I87" s="49">
        <f>+INDICES!H49/INDICES!M48</f>
        <v>1.0072002778460156</v>
      </c>
      <c r="J87" s="48">
        <f t="shared" si="21"/>
        <v>171945.04595716164</v>
      </c>
      <c r="K87" s="47">
        <v>215000</v>
      </c>
      <c r="L87" s="47">
        <f t="shared" si="22"/>
        <v>43054.954042838363</v>
      </c>
      <c r="M87" s="48">
        <f>+L3</f>
        <v>87643.8</v>
      </c>
      <c r="N87" s="48">
        <f t="shared" si="23"/>
        <v>-44588.84595716164</v>
      </c>
      <c r="O87" s="50">
        <f t="shared" si="4"/>
        <v>0</v>
      </c>
      <c r="P87" s="35" t="s">
        <v>74</v>
      </c>
      <c r="Q87" s="35" t="s">
        <v>63</v>
      </c>
      <c r="R87" s="35" t="s">
        <v>215</v>
      </c>
      <c r="S87" s="51" t="s">
        <v>343</v>
      </c>
    </row>
    <row r="88" spans="1:19" ht="25.5" hidden="1" x14ac:dyDescent="0.2">
      <c r="A88" s="34" t="s">
        <v>216</v>
      </c>
      <c r="B88" s="53" t="s">
        <v>217</v>
      </c>
      <c r="C88" s="36">
        <v>41635</v>
      </c>
      <c r="D88" s="37">
        <v>42829</v>
      </c>
      <c r="E88" s="38">
        <f t="shared" si="24"/>
        <v>39.799999999999997</v>
      </c>
      <c r="F88" s="46">
        <f t="shared" si="1"/>
        <v>1.6666666666666666E-2</v>
      </c>
      <c r="G88" s="47">
        <v>289049</v>
      </c>
      <c r="H88" s="48">
        <f t="shared" si="20"/>
        <v>97313.16333333333</v>
      </c>
      <c r="I88" s="49">
        <f>+INDICES!H49/INDICES!G47</f>
        <v>1.056644183173816</v>
      </c>
      <c r="J88" s="48">
        <f t="shared" si="21"/>
        <v>102825.38798241015</v>
      </c>
      <c r="K88" s="47">
        <v>180000</v>
      </c>
      <c r="L88" s="47">
        <f t="shared" si="22"/>
        <v>77174.612017589854</v>
      </c>
      <c r="M88" s="48">
        <f>+L3</f>
        <v>87643.8</v>
      </c>
      <c r="N88" s="48">
        <f t="shared" si="23"/>
        <v>-10469.187982410149</v>
      </c>
      <c r="O88" s="50">
        <f t="shared" si="4"/>
        <v>0</v>
      </c>
      <c r="P88" s="35" t="s">
        <v>218</v>
      </c>
      <c r="Q88" s="35" t="s">
        <v>67</v>
      </c>
      <c r="R88" s="35" t="s">
        <v>215</v>
      </c>
      <c r="S88" s="51" t="s">
        <v>342</v>
      </c>
    </row>
    <row r="89" spans="1:19" ht="25.5" hidden="1" x14ac:dyDescent="0.2">
      <c r="A89" s="34" t="s">
        <v>219</v>
      </c>
      <c r="B89" s="53" t="s">
        <v>220</v>
      </c>
      <c r="C89" s="36">
        <v>41558</v>
      </c>
      <c r="D89" s="37">
        <v>42833</v>
      </c>
      <c r="E89" s="38">
        <f t="shared" si="24"/>
        <v>42.5</v>
      </c>
      <c r="F89" s="46">
        <f t="shared" si="1"/>
        <v>1.6666666666666666E-2</v>
      </c>
      <c r="G89" s="47">
        <v>343521</v>
      </c>
      <c r="H89" s="48">
        <f t="shared" si="20"/>
        <v>100193.62499999997</v>
      </c>
      <c r="I89" s="49">
        <f>+INDICES!H49/INDICES!G44</f>
        <v>1.1884633068788357</v>
      </c>
      <c r="J89" s="48">
        <f t="shared" si="21"/>
        <v>119076.44689567795</v>
      </c>
      <c r="K89" s="47">
        <v>200000</v>
      </c>
      <c r="L89" s="47">
        <f t="shared" si="22"/>
        <v>80923.553104322054</v>
      </c>
      <c r="M89" s="48">
        <f>+L3</f>
        <v>87643.8</v>
      </c>
      <c r="N89" s="48">
        <f t="shared" si="23"/>
        <v>-6720.2468956779485</v>
      </c>
      <c r="O89" s="50">
        <f t="shared" si="4"/>
        <v>0</v>
      </c>
      <c r="P89" s="35" t="s">
        <v>66</v>
      </c>
      <c r="Q89" s="35" t="s">
        <v>67</v>
      </c>
      <c r="R89" s="35" t="s">
        <v>215</v>
      </c>
      <c r="S89" s="51" t="s">
        <v>324</v>
      </c>
    </row>
    <row r="90" spans="1:19" ht="25.5" hidden="1" x14ac:dyDescent="0.2">
      <c r="A90" s="34" t="s">
        <v>221</v>
      </c>
      <c r="B90" s="53" t="s">
        <v>222</v>
      </c>
      <c r="C90" s="36">
        <v>41087</v>
      </c>
      <c r="D90" s="37">
        <v>42835</v>
      </c>
      <c r="E90" s="38">
        <f t="shared" si="24"/>
        <v>58.266666666666666</v>
      </c>
      <c r="F90" s="46">
        <f t="shared" si="1"/>
        <v>1.6666666666666666E-2</v>
      </c>
      <c r="G90" s="47">
        <v>399000</v>
      </c>
      <c r="H90" s="48">
        <f t="shared" si="20"/>
        <v>11526.666666666686</v>
      </c>
      <c r="I90" s="49">
        <f>INDICES!I49/INDICES!D46</f>
        <v>1.1016837941741831</v>
      </c>
      <c r="J90" s="48">
        <f t="shared" si="21"/>
        <v>12698.741867514438</v>
      </c>
      <c r="K90" s="98">
        <v>160000</v>
      </c>
      <c r="L90" s="47">
        <f t="shared" si="22"/>
        <v>147301.25813248556</v>
      </c>
      <c r="M90" s="48">
        <f>+L3</f>
        <v>87643.8</v>
      </c>
      <c r="N90" s="48">
        <f t="shared" si="23"/>
        <v>59657.458132485554</v>
      </c>
      <c r="O90" s="50">
        <f t="shared" si="4"/>
        <v>11931.491626497111</v>
      </c>
      <c r="P90" s="35" t="s">
        <v>223</v>
      </c>
      <c r="Q90" s="35" t="s">
        <v>63</v>
      </c>
      <c r="R90" s="35" t="s">
        <v>215</v>
      </c>
      <c r="S90" s="51" t="s">
        <v>324</v>
      </c>
    </row>
    <row r="91" spans="1:19" hidden="1" x14ac:dyDescent="0.2">
      <c r="A91" s="34" t="s">
        <v>224</v>
      </c>
      <c r="B91" s="53" t="s">
        <v>225</v>
      </c>
      <c r="C91" s="36">
        <v>42255</v>
      </c>
      <c r="D91" s="37">
        <v>42836</v>
      </c>
      <c r="E91" s="38">
        <f t="shared" si="24"/>
        <v>19.366666666666667</v>
      </c>
      <c r="F91" s="46">
        <f t="shared" si="1"/>
        <v>1.6666666666666666E-2</v>
      </c>
      <c r="G91" s="47">
        <v>268900</v>
      </c>
      <c r="H91" s="48">
        <f t="shared" si="20"/>
        <v>182105.05555555556</v>
      </c>
      <c r="I91" s="49">
        <f>INDICES!I49/INDICES!E48</f>
        <v>1.0219808482001251</v>
      </c>
      <c r="J91" s="48">
        <f t="shared" si="21"/>
        <v>186107.87913819758</v>
      </c>
      <c r="K91" s="47">
        <v>195000</v>
      </c>
      <c r="L91" s="47">
        <f t="shared" si="22"/>
        <v>8892.1208618024248</v>
      </c>
      <c r="M91" s="48">
        <f>+L3</f>
        <v>87643.8</v>
      </c>
      <c r="N91" s="48">
        <f t="shared" si="23"/>
        <v>-78751.679138197578</v>
      </c>
      <c r="O91" s="50">
        <f t="shared" si="4"/>
        <v>0</v>
      </c>
      <c r="P91" s="35" t="s">
        <v>43</v>
      </c>
      <c r="Q91" s="35" t="s">
        <v>44</v>
      </c>
      <c r="R91" s="35" t="s">
        <v>197</v>
      </c>
      <c r="S91" s="51" t="s">
        <v>331</v>
      </c>
    </row>
    <row r="92" spans="1:19" ht="25.5" hidden="1" x14ac:dyDescent="0.2">
      <c r="A92" s="34" t="s">
        <v>226</v>
      </c>
      <c r="B92" s="53" t="s">
        <v>227</v>
      </c>
      <c r="C92" s="36">
        <v>40974</v>
      </c>
      <c r="D92" s="37">
        <v>42837</v>
      </c>
      <c r="E92" s="38">
        <f t="shared" si="24"/>
        <v>62.1</v>
      </c>
      <c r="F92" s="46">
        <f t="shared" si="1"/>
        <v>1.6666666666666666E-2</v>
      </c>
      <c r="G92" s="47">
        <v>198800</v>
      </c>
      <c r="H92" s="48">
        <f t="shared" si="20"/>
        <v>-6958</v>
      </c>
      <c r="I92" s="49">
        <f>INDICES!I49/INDICES!I47</f>
        <v>1.0546659353103547</v>
      </c>
      <c r="J92" s="48">
        <f t="shared" si="21"/>
        <v>-7338.3655778894481</v>
      </c>
      <c r="K92" s="98">
        <v>108000</v>
      </c>
      <c r="L92" s="47">
        <f t="shared" si="22"/>
        <v>115338.36557788945</v>
      </c>
      <c r="M92" s="48">
        <f>+L3</f>
        <v>87643.8</v>
      </c>
      <c r="N92" s="48">
        <f t="shared" si="23"/>
        <v>27694.565577889443</v>
      </c>
      <c r="O92" s="50">
        <f t="shared" si="4"/>
        <v>5538.9131155778887</v>
      </c>
      <c r="P92" s="35" t="s">
        <v>228</v>
      </c>
      <c r="Q92" s="35" t="s">
        <v>34</v>
      </c>
      <c r="R92" s="35" t="s">
        <v>215</v>
      </c>
      <c r="S92" s="51" t="s">
        <v>328</v>
      </c>
    </row>
    <row r="93" spans="1:19" ht="25.5" hidden="1" x14ac:dyDescent="0.2">
      <c r="A93" s="34" t="s">
        <v>229</v>
      </c>
      <c r="B93" s="53" t="s">
        <v>230</v>
      </c>
      <c r="C93" s="36">
        <v>42058</v>
      </c>
      <c r="D93" s="37">
        <v>42842</v>
      </c>
      <c r="E93" s="38">
        <f t="shared" si="24"/>
        <v>26.133333333333333</v>
      </c>
      <c r="F93" s="46">
        <f t="shared" si="1"/>
        <v>1.6666666666666666E-2</v>
      </c>
      <c r="G93" s="47">
        <v>197200</v>
      </c>
      <c r="H93" s="48">
        <f t="shared" si="20"/>
        <v>111308.44444444445</v>
      </c>
      <c r="I93" s="49">
        <f>INDICES!I49/INDICES!E46</f>
        <v>1.0936588319480376</v>
      </c>
      <c r="J93" s="48">
        <f t="shared" si="21"/>
        <v>121733.46333706415</v>
      </c>
      <c r="K93" s="47">
        <v>153000</v>
      </c>
      <c r="L93" s="47">
        <f t="shared" si="22"/>
        <v>31266.536662935847</v>
      </c>
      <c r="M93" s="48">
        <f>+L3</f>
        <v>87643.8</v>
      </c>
      <c r="N93" s="48">
        <f t="shared" si="23"/>
        <v>-56377.263337064156</v>
      </c>
      <c r="O93" s="50">
        <f t="shared" si="4"/>
        <v>0</v>
      </c>
      <c r="P93" s="35" t="s">
        <v>169</v>
      </c>
      <c r="Q93" s="35" t="s">
        <v>34</v>
      </c>
      <c r="R93" s="35" t="s">
        <v>197</v>
      </c>
      <c r="S93" s="51" t="s">
        <v>331</v>
      </c>
    </row>
    <row r="94" spans="1:19" ht="25.5" hidden="1" x14ac:dyDescent="0.2">
      <c r="A94" s="34" t="s">
        <v>231</v>
      </c>
      <c r="B94" s="53" t="s">
        <v>232</v>
      </c>
      <c r="C94" s="36">
        <v>41020</v>
      </c>
      <c r="D94" s="37">
        <v>42843</v>
      </c>
      <c r="E94" s="38">
        <f t="shared" si="24"/>
        <v>60.766666666666666</v>
      </c>
      <c r="F94" s="46">
        <f t="shared" si="1"/>
        <v>1.6666666666666666E-2</v>
      </c>
      <c r="G94" s="47">
        <v>261000</v>
      </c>
      <c r="H94" s="48">
        <f t="shared" si="20"/>
        <v>-3335</v>
      </c>
      <c r="I94" s="49">
        <f>INDICES!I49/INDICES!I47</f>
        <v>1.0546659353103547</v>
      </c>
      <c r="J94" s="48">
        <f t="shared" si="21"/>
        <v>-3517.3108942600329</v>
      </c>
      <c r="K94" s="98">
        <v>117000</v>
      </c>
      <c r="L94" s="47">
        <f t="shared" si="22"/>
        <v>120517.31089426004</v>
      </c>
      <c r="M94" s="48">
        <f>+L3</f>
        <v>87643.8</v>
      </c>
      <c r="N94" s="48">
        <f t="shared" si="23"/>
        <v>32873.510894260035</v>
      </c>
      <c r="O94" s="50">
        <f t="shared" si="4"/>
        <v>6574.7021788520069</v>
      </c>
      <c r="P94" s="35" t="s">
        <v>38</v>
      </c>
      <c r="Q94" s="35" t="s">
        <v>34</v>
      </c>
      <c r="R94" s="35" t="s">
        <v>197</v>
      </c>
      <c r="S94" s="51" t="s">
        <v>338</v>
      </c>
    </row>
    <row r="95" spans="1:19" ht="25.5" hidden="1" x14ac:dyDescent="0.2">
      <c r="A95" s="34" t="s">
        <v>233</v>
      </c>
      <c r="B95" s="53" t="s">
        <v>234</v>
      </c>
      <c r="C95" s="36">
        <v>42435</v>
      </c>
      <c r="D95" s="37">
        <v>42836</v>
      </c>
      <c r="E95" s="38">
        <f t="shared" si="24"/>
        <v>13.366666666666667</v>
      </c>
      <c r="F95" s="46">
        <f t="shared" si="1"/>
        <v>1.6666666666666666E-2</v>
      </c>
      <c r="G95" s="47">
        <v>457100</v>
      </c>
      <c r="H95" s="48">
        <f t="shared" si="20"/>
        <v>355268.27777777775</v>
      </c>
      <c r="I95" s="49">
        <f>+INDICES!H49/INDICES!I47</f>
        <v>1.0519233491400666</v>
      </c>
      <c r="J95" s="48">
        <f t="shared" si="21"/>
        <v>373714.99660322344</v>
      </c>
      <c r="K95" s="47">
        <v>215000</v>
      </c>
      <c r="L95" s="47">
        <f t="shared" si="22"/>
        <v>-158714.99660322344</v>
      </c>
      <c r="M95" s="48">
        <f>+L3</f>
        <v>87643.8</v>
      </c>
      <c r="N95" s="48">
        <f t="shared" si="23"/>
        <v>-246358.79660322343</v>
      </c>
      <c r="O95" s="50">
        <f t="shared" si="4"/>
        <v>0</v>
      </c>
      <c r="P95" s="35" t="s">
        <v>223</v>
      </c>
      <c r="Q95" s="35" t="s">
        <v>63</v>
      </c>
      <c r="R95" s="35" t="s">
        <v>215</v>
      </c>
      <c r="S95" s="51" t="s">
        <v>331</v>
      </c>
    </row>
    <row r="96" spans="1:19" ht="25.5" hidden="1" x14ac:dyDescent="0.2">
      <c r="A96" s="34" t="s">
        <v>235</v>
      </c>
      <c r="B96" s="53" t="s">
        <v>236</v>
      </c>
      <c r="C96" s="36">
        <v>42272</v>
      </c>
      <c r="D96" s="37">
        <v>42843</v>
      </c>
      <c r="E96" s="38">
        <f t="shared" si="24"/>
        <v>19.033333333333335</v>
      </c>
      <c r="F96" s="46">
        <f t="shared" si="1"/>
        <v>1.6666666666666666E-2</v>
      </c>
      <c r="G96" s="47">
        <v>229700</v>
      </c>
      <c r="H96" s="48">
        <f t="shared" si="20"/>
        <v>156834.05555555556</v>
      </c>
      <c r="I96" s="49">
        <f>INDICES!H49/INDICES!H49</f>
        <v>1</v>
      </c>
      <c r="J96" s="48">
        <f t="shared" si="21"/>
        <v>156834.05555555556</v>
      </c>
      <c r="K96" s="47">
        <v>167000</v>
      </c>
      <c r="L96" s="47">
        <f t="shared" si="22"/>
        <v>10165.944444444438</v>
      </c>
      <c r="M96" s="48">
        <f>+L3</f>
        <v>87643.8</v>
      </c>
      <c r="N96" s="48">
        <f t="shared" si="23"/>
        <v>-77477.855555555565</v>
      </c>
      <c r="O96" s="50">
        <f t="shared" si="4"/>
        <v>0</v>
      </c>
      <c r="P96" s="35" t="s">
        <v>237</v>
      </c>
      <c r="Q96" s="35" t="s">
        <v>67</v>
      </c>
      <c r="R96" s="35" t="s">
        <v>215</v>
      </c>
      <c r="S96" s="51" t="s">
        <v>331</v>
      </c>
    </row>
    <row r="97" spans="1:19" ht="25.5" x14ac:dyDescent="0.2">
      <c r="A97" s="34" t="s">
        <v>238</v>
      </c>
      <c r="B97" s="53" t="s">
        <v>239</v>
      </c>
      <c r="C97" s="36">
        <v>42006</v>
      </c>
      <c r="D97" s="37">
        <v>42843</v>
      </c>
      <c r="E97" s="38">
        <f t="shared" si="24"/>
        <v>27.9</v>
      </c>
      <c r="F97" s="46">
        <f t="shared" si="1"/>
        <v>1.6666666666666666E-2</v>
      </c>
      <c r="G97" s="47">
        <v>291120.69</v>
      </c>
      <c r="H97" s="48">
        <f t="shared" si="20"/>
        <v>155749.56915000002</v>
      </c>
      <c r="I97" s="49">
        <f>INDICES!J49/INDICES!F48</f>
        <v>1.0275215952554901</v>
      </c>
      <c r="J97" s="48">
        <f t="shared" si="21"/>
        <v>160036.04575336329</v>
      </c>
      <c r="K97" s="99">
        <v>228000</v>
      </c>
      <c r="L97" s="47">
        <f t="shared" si="22"/>
        <v>67963.954246636713</v>
      </c>
      <c r="M97" s="48">
        <f>+L3</f>
        <v>87643.8</v>
      </c>
      <c r="N97" s="48">
        <f t="shared" si="23"/>
        <v>-19679.84575336329</v>
      </c>
      <c r="O97" s="50">
        <f t="shared" si="4"/>
        <v>0</v>
      </c>
      <c r="P97" s="35" t="s">
        <v>74</v>
      </c>
      <c r="Q97" s="35" t="s">
        <v>63</v>
      </c>
      <c r="R97" s="35" t="s">
        <v>197</v>
      </c>
      <c r="S97" s="51" t="s">
        <v>318</v>
      </c>
    </row>
    <row r="98" spans="1:19" hidden="1" x14ac:dyDescent="0.2">
      <c r="A98" s="34" t="s">
        <v>240</v>
      </c>
      <c r="B98" s="53" t="s">
        <v>241</v>
      </c>
      <c r="C98" s="36">
        <v>42144</v>
      </c>
      <c r="D98" s="37">
        <v>42843</v>
      </c>
      <c r="E98" s="38">
        <f t="shared" si="24"/>
        <v>23.3</v>
      </c>
      <c r="F98" s="46">
        <f t="shared" si="1"/>
        <v>1.6666666666666666E-2</v>
      </c>
      <c r="G98" s="47">
        <v>302000</v>
      </c>
      <c r="H98" s="48">
        <f t="shared" si="20"/>
        <v>184723.33333333334</v>
      </c>
      <c r="I98" s="49">
        <f>INDICES!J49/INDICES!E46</f>
        <v>1.0967413441955194</v>
      </c>
      <c r="J98" s="48">
        <f t="shared" si="21"/>
        <v>202593.71690427701</v>
      </c>
      <c r="K98" s="47">
        <v>218500</v>
      </c>
      <c r="L98" s="47">
        <f t="shared" si="22"/>
        <v>15906.283095722989</v>
      </c>
      <c r="M98" s="48">
        <f>+L3</f>
        <v>87643.8</v>
      </c>
      <c r="N98" s="48">
        <f t="shared" si="23"/>
        <v>-71737.516904277014</v>
      </c>
      <c r="O98" s="50">
        <f t="shared" si="4"/>
        <v>0</v>
      </c>
      <c r="P98" s="35" t="s">
        <v>228</v>
      </c>
      <c r="Q98" s="35" t="s">
        <v>34</v>
      </c>
      <c r="R98" s="35" t="s">
        <v>197</v>
      </c>
      <c r="S98" s="51" t="s">
        <v>331</v>
      </c>
    </row>
    <row r="99" spans="1:19" ht="25.5" hidden="1" x14ac:dyDescent="0.2">
      <c r="A99" s="34" t="s">
        <v>242</v>
      </c>
      <c r="B99" s="53" t="s">
        <v>243</v>
      </c>
      <c r="C99" s="36">
        <v>42021</v>
      </c>
      <c r="D99" s="37">
        <v>42843</v>
      </c>
      <c r="E99" s="38">
        <f t="shared" si="24"/>
        <v>27.4</v>
      </c>
      <c r="F99" s="46">
        <f t="shared" si="1"/>
        <v>1.6666666666666666E-2</v>
      </c>
      <c r="G99" s="47">
        <v>144975</v>
      </c>
      <c r="H99" s="48">
        <f t="shared" si="20"/>
        <v>78769.75</v>
      </c>
      <c r="I99" s="49">
        <f>INDICES!J49/INDICES!G46</f>
        <v>1.0996771255898667</v>
      </c>
      <c r="J99" s="48">
        <f t="shared" si="21"/>
        <v>86621.292263432406</v>
      </c>
      <c r="K99" s="47">
        <v>90000</v>
      </c>
      <c r="L99" s="47">
        <f t="shared" si="22"/>
        <v>3378.7077365675941</v>
      </c>
      <c r="M99" s="48">
        <f>+L3</f>
        <v>87643.8</v>
      </c>
      <c r="N99" s="48">
        <f t="shared" si="23"/>
        <v>-84265.092263432409</v>
      </c>
      <c r="O99" s="50">
        <f t="shared" si="4"/>
        <v>0</v>
      </c>
      <c r="P99" s="35" t="s">
        <v>74</v>
      </c>
      <c r="Q99" s="35" t="s">
        <v>63</v>
      </c>
      <c r="R99" s="35" t="s">
        <v>215</v>
      </c>
      <c r="S99" s="51" t="s">
        <v>327</v>
      </c>
    </row>
    <row r="100" spans="1:19" ht="25.5" hidden="1" x14ac:dyDescent="0.2">
      <c r="A100" s="34" t="s">
        <v>244</v>
      </c>
      <c r="B100" s="53" t="s">
        <v>245</v>
      </c>
      <c r="C100" s="36">
        <v>41289</v>
      </c>
      <c r="D100" s="37">
        <v>42847</v>
      </c>
      <c r="E100" s="38">
        <f t="shared" si="24"/>
        <v>51.93333333333333</v>
      </c>
      <c r="F100" s="46">
        <f t="shared" si="1"/>
        <v>1.6666666666666666E-2</v>
      </c>
      <c r="G100" s="47">
        <v>260000</v>
      </c>
      <c r="H100" s="48">
        <f t="shared" ref="H100:H127" si="25">G100-(G100*F100*E100)</f>
        <v>34955.555555555591</v>
      </c>
      <c r="I100" s="49">
        <f>INDICES!J49/INDICES!H48</f>
        <v>1.0309508615188259</v>
      </c>
      <c r="J100" s="48">
        <f t="shared" ref="J100:J127" si="26">+H100*I100</f>
        <v>36037.460114869216</v>
      </c>
      <c r="K100" s="98">
        <v>148400</v>
      </c>
      <c r="L100" s="47">
        <f t="shared" ref="L100:L127" si="27">+K100-J100</f>
        <v>112362.53988513078</v>
      </c>
      <c r="M100" s="48">
        <f>+L3</f>
        <v>87643.8</v>
      </c>
      <c r="N100" s="48">
        <f t="shared" ref="N100:N127" si="28">+L100-M100</f>
        <v>24718.739885130781</v>
      </c>
      <c r="O100" s="50">
        <f t="shared" si="4"/>
        <v>4943.7479770261561</v>
      </c>
      <c r="P100" s="35" t="s">
        <v>66</v>
      </c>
      <c r="Q100" s="35" t="s">
        <v>67</v>
      </c>
      <c r="R100" s="35" t="s">
        <v>197</v>
      </c>
      <c r="S100" s="51" t="s">
        <v>344</v>
      </c>
    </row>
    <row r="101" spans="1:19" ht="25.5" hidden="1" x14ac:dyDescent="0.2">
      <c r="A101" s="34" t="s">
        <v>246</v>
      </c>
      <c r="B101" s="53" t="s">
        <v>247</v>
      </c>
      <c r="C101" s="36">
        <v>42367</v>
      </c>
      <c r="D101" s="37">
        <v>42846</v>
      </c>
      <c r="E101" s="38">
        <f t="shared" si="24"/>
        <v>15.966666666666667</v>
      </c>
      <c r="F101" s="46">
        <f t="shared" si="1"/>
        <v>1.6666666666666666E-2</v>
      </c>
      <c r="G101" s="47">
        <v>254600</v>
      </c>
      <c r="H101" s="48">
        <f t="shared" si="25"/>
        <v>186848.11111111112</v>
      </c>
      <c r="I101" s="49">
        <f>INDICES!J49/INDICES!N45</f>
        <v>1.1146989165097068</v>
      </c>
      <c r="J101" s="48">
        <f t="shared" si="26"/>
        <v>208279.38700744088</v>
      </c>
      <c r="K101" s="47">
        <v>185000</v>
      </c>
      <c r="L101" s="47">
        <f t="shared" si="27"/>
        <v>-23279.387007440877</v>
      </c>
      <c r="M101" s="48">
        <f>+L3</f>
        <v>87643.8</v>
      </c>
      <c r="N101" s="48">
        <f t="shared" si="28"/>
        <v>-110923.18700744088</v>
      </c>
      <c r="O101" s="50">
        <f t="shared" si="4"/>
        <v>0</v>
      </c>
      <c r="P101" s="35" t="s">
        <v>38</v>
      </c>
      <c r="Q101" s="35" t="s">
        <v>34</v>
      </c>
      <c r="R101" s="35" t="s">
        <v>197</v>
      </c>
      <c r="S101" s="51" t="s">
        <v>345</v>
      </c>
    </row>
    <row r="102" spans="1:19" ht="25.5" hidden="1" x14ac:dyDescent="0.2">
      <c r="A102" s="34" t="s">
        <v>248</v>
      </c>
      <c r="B102" s="53" t="s">
        <v>187</v>
      </c>
      <c r="C102" s="36">
        <v>41696</v>
      </c>
      <c r="D102" s="37">
        <v>42850</v>
      </c>
      <c r="E102" s="38">
        <f t="shared" si="24"/>
        <v>38.466666666666669</v>
      </c>
      <c r="F102" s="46">
        <f t="shared" si="1"/>
        <v>1.6666666666666666E-2</v>
      </c>
      <c r="G102" s="47">
        <v>322324</v>
      </c>
      <c r="H102" s="48">
        <f t="shared" si="25"/>
        <v>115678.50222222222</v>
      </c>
      <c r="I102" s="49">
        <f>INDICES!J49/INDICES!J45</f>
        <v>1.1355256033966887</v>
      </c>
      <c r="J102" s="48">
        <f t="shared" si="26"/>
        <v>131355.90103591408</v>
      </c>
      <c r="K102" s="47">
        <v>207500</v>
      </c>
      <c r="L102" s="47">
        <f t="shared" si="27"/>
        <v>76144.098964085919</v>
      </c>
      <c r="M102" s="48">
        <f>+L3</f>
        <v>87643.8</v>
      </c>
      <c r="N102" s="48">
        <f t="shared" si="28"/>
        <v>-11499.701035914084</v>
      </c>
      <c r="O102" s="50">
        <f t="shared" si="4"/>
        <v>0</v>
      </c>
      <c r="P102" s="35" t="s">
        <v>66</v>
      </c>
      <c r="Q102" s="35" t="s">
        <v>67</v>
      </c>
      <c r="R102" s="35" t="s">
        <v>215</v>
      </c>
      <c r="S102" s="51" t="s">
        <v>342</v>
      </c>
    </row>
    <row r="103" spans="1:19" s="69" customFormat="1" hidden="1" x14ac:dyDescent="0.2">
      <c r="A103" s="59" t="s">
        <v>249</v>
      </c>
      <c r="B103" s="60" t="s">
        <v>71</v>
      </c>
      <c r="C103" s="61"/>
      <c r="D103" s="61"/>
      <c r="E103" s="62">
        <f t="shared" ref="E103:E134" si="29">(D103-C103)/30</f>
        <v>0</v>
      </c>
      <c r="F103" s="63">
        <f t="shared" si="1"/>
        <v>1.6666666666666666E-2</v>
      </c>
      <c r="G103" s="64"/>
      <c r="H103" s="65">
        <f t="shared" si="25"/>
        <v>0</v>
      </c>
      <c r="I103" s="66">
        <f>INDICES!J49/INDICES!J47</f>
        <v>1.053853206156667</v>
      </c>
      <c r="J103" s="65">
        <f t="shared" si="26"/>
        <v>0</v>
      </c>
      <c r="K103" s="64"/>
      <c r="L103" s="64">
        <f t="shared" si="27"/>
        <v>0</v>
      </c>
      <c r="M103" s="65">
        <f>+L3</f>
        <v>87643.8</v>
      </c>
      <c r="N103" s="65">
        <f t="shared" si="28"/>
        <v>-87643.8</v>
      </c>
      <c r="O103" s="65">
        <f t="shared" si="4"/>
        <v>0</v>
      </c>
      <c r="P103" s="59"/>
      <c r="Q103" s="60"/>
      <c r="R103" s="59"/>
      <c r="S103" s="67" t="s">
        <v>356</v>
      </c>
    </row>
    <row r="104" spans="1:19" ht="25.5" hidden="1" x14ac:dyDescent="0.2">
      <c r="A104" s="34" t="s">
        <v>250</v>
      </c>
      <c r="B104" s="53" t="s">
        <v>251</v>
      </c>
      <c r="C104" s="36">
        <v>41872</v>
      </c>
      <c r="D104" s="37">
        <v>42851</v>
      </c>
      <c r="E104" s="38">
        <f t="shared" si="29"/>
        <v>32.633333333333333</v>
      </c>
      <c r="F104" s="46">
        <f t="shared" si="1"/>
        <v>1.6666666666666666E-2</v>
      </c>
      <c r="G104" s="47">
        <v>298900</v>
      </c>
      <c r="H104" s="48">
        <f t="shared" si="25"/>
        <v>136331.61111111109</v>
      </c>
      <c r="I104" s="49">
        <f>INDICES!J49/INDICES!D48</f>
        <v>1.0290340351541651</v>
      </c>
      <c r="J104" s="48">
        <f t="shared" si="26"/>
        <v>140289.86790073506</v>
      </c>
      <c r="K104" s="47">
        <v>200000</v>
      </c>
      <c r="L104" s="47">
        <f t="shared" si="27"/>
        <v>59710.132099264942</v>
      </c>
      <c r="M104" s="48">
        <f>+L3</f>
        <v>87643.8</v>
      </c>
      <c r="N104" s="48">
        <f t="shared" si="28"/>
        <v>-27933.667900735061</v>
      </c>
      <c r="O104" s="50">
        <f t="shared" si="4"/>
        <v>0</v>
      </c>
      <c r="P104" s="35" t="s">
        <v>66</v>
      </c>
      <c r="Q104" s="35" t="s">
        <v>67</v>
      </c>
      <c r="R104" s="35" t="s">
        <v>197</v>
      </c>
      <c r="S104" s="51" t="s">
        <v>346</v>
      </c>
    </row>
    <row r="105" spans="1:19" ht="25.5" x14ac:dyDescent="0.2">
      <c r="A105" s="34" t="s">
        <v>252</v>
      </c>
      <c r="B105" s="53" t="s">
        <v>187</v>
      </c>
      <c r="C105" s="36">
        <v>41808</v>
      </c>
      <c r="D105" s="37">
        <v>42851</v>
      </c>
      <c r="E105" s="38">
        <f t="shared" si="29"/>
        <v>34.766666666666666</v>
      </c>
      <c r="F105" s="46">
        <f t="shared" si="1"/>
        <v>1.6666666666666666E-2</v>
      </c>
      <c r="G105" s="47">
        <v>436715</v>
      </c>
      <c r="H105" s="48">
        <f t="shared" si="25"/>
        <v>183662.91944444447</v>
      </c>
      <c r="I105" s="49">
        <f>INDICES!J49/INDICES!N46</f>
        <v>1.0720934820820032</v>
      </c>
      <c r="J105" s="48">
        <f t="shared" si="26"/>
        <v>196903.81883654092</v>
      </c>
      <c r="K105" s="99">
        <v>284900</v>
      </c>
      <c r="L105" s="47">
        <f t="shared" si="27"/>
        <v>87996.181163459085</v>
      </c>
      <c r="M105" s="48">
        <f>+L3</f>
        <v>87643.8</v>
      </c>
      <c r="N105" s="48">
        <f t="shared" si="28"/>
        <v>352.38116345908202</v>
      </c>
      <c r="O105" s="50">
        <f t="shared" si="4"/>
        <v>70.476232691816406</v>
      </c>
      <c r="P105" s="35" t="s">
        <v>66</v>
      </c>
      <c r="Q105" s="35" t="s">
        <v>67</v>
      </c>
      <c r="R105" s="35" t="s">
        <v>215</v>
      </c>
      <c r="S105" s="51" t="s">
        <v>347</v>
      </c>
    </row>
    <row r="106" spans="1:19" ht="25.5" hidden="1" x14ac:dyDescent="0.2">
      <c r="A106" s="34" t="s">
        <v>253</v>
      </c>
      <c r="B106" s="53" t="s">
        <v>254</v>
      </c>
      <c r="C106" s="36">
        <v>41046</v>
      </c>
      <c r="D106" s="37">
        <v>42852</v>
      </c>
      <c r="E106" s="38">
        <f t="shared" si="29"/>
        <v>60.2</v>
      </c>
      <c r="F106" s="46">
        <f t="shared" si="1"/>
        <v>1.6666666666666666E-2</v>
      </c>
      <c r="G106" s="47">
        <v>191700</v>
      </c>
      <c r="H106" s="48">
        <f t="shared" si="25"/>
        <v>-639</v>
      </c>
      <c r="I106" s="49">
        <f>INDICES!J49/INDICES!E47</f>
        <v>1.0570119983377395</v>
      </c>
      <c r="J106" s="48">
        <f t="shared" si="26"/>
        <v>-675.43066693781554</v>
      </c>
      <c r="K106" s="98">
        <v>95000</v>
      </c>
      <c r="L106" s="47">
        <f t="shared" si="27"/>
        <v>95675.430666937813</v>
      </c>
      <c r="M106" s="48">
        <f>+L3</f>
        <v>87643.8</v>
      </c>
      <c r="N106" s="48">
        <f t="shared" si="28"/>
        <v>8031.63066693781</v>
      </c>
      <c r="O106" s="50">
        <f t="shared" si="4"/>
        <v>1606.3261333875621</v>
      </c>
      <c r="P106" s="35" t="s">
        <v>205</v>
      </c>
      <c r="Q106" s="35" t="s">
        <v>44</v>
      </c>
      <c r="R106" s="35" t="s">
        <v>215</v>
      </c>
      <c r="S106" s="51" t="s">
        <v>328</v>
      </c>
    </row>
    <row r="107" spans="1:19" hidden="1" x14ac:dyDescent="0.2">
      <c r="A107" s="34" t="s">
        <v>255</v>
      </c>
      <c r="B107" s="53" t="s">
        <v>256</v>
      </c>
      <c r="C107" s="36">
        <v>42104</v>
      </c>
      <c r="D107" s="37">
        <v>42853</v>
      </c>
      <c r="E107" s="38">
        <f t="shared" si="29"/>
        <v>24.966666666666665</v>
      </c>
      <c r="F107" s="46">
        <f t="shared" si="1"/>
        <v>1.6666666666666666E-2</v>
      </c>
      <c r="G107" s="47">
        <v>185000</v>
      </c>
      <c r="H107" s="48">
        <f t="shared" si="25"/>
        <v>108019.44444444445</v>
      </c>
      <c r="I107" s="49">
        <f>INDICES!J49/INDICES!N44</f>
        <v>1.1544746067155314</v>
      </c>
      <c r="J107" s="48">
        <f t="shared" si="26"/>
        <v>124705.7056426302</v>
      </c>
      <c r="K107" s="47">
        <v>130000</v>
      </c>
      <c r="L107" s="47">
        <f t="shared" si="27"/>
        <v>5294.2943573697994</v>
      </c>
      <c r="M107" s="48">
        <f>+L3</f>
        <v>87643.8</v>
      </c>
      <c r="N107" s="48">
        <f t="shared" si="28"/>
        <v>-82349.505642630204</v>
      </c>
      <c r="O107" s="50">
        <f t="shared" si="4"/>
        <v>0</v>
      </c>
      <c r="P107" s="35" t="s">
        <v>172</v>
      </c>
      <c r="Q107" s="35" t="s">
        <v>44</v>
      </c>
      <c r="R107" s="35" t="s">
        <v>197</v>
      </c>
      <c r="S107" s="51" t="s">
        <v>327</v>
      </c>
    </row>
    <row r="108" spans="1:19" ht="25.5" hidden="1" x14ac:dyDescent="0.2">
      <c r="A108" s="34" t="s">
        <v>257</v>
      </c>
      <c r="B108" s="53" t="s">
        <v>258</v>
      </c>
      <c r="C108" s="36">
        <v>42212</v>
      </c>
      <c r="D108" s="37">
        <v>42860</v>
      </c>
      <c r="E108" s="38">
        <f t="shared" si="29"/>
        <v>21.6</v>
      </c>
      <c r="F108" s="46">
        <f t="shared" si="1"/>
        <v>1.6666666666666666E-2</v>
      </c>
      <c r="G108" s="47">
        <v>262000</v>
      </c>
      <c r="H108" s="48">
        <f t="shared" si="25"/>
        <v>167680</v>
      </c>
      <c r="I108" s="49">
        <f>INDICES!J49/INDICES!K43</f>
        <v>1.2216445471835242</v>
      </c>
      <c r="J108" s="48">
        <f t="shared" si="26"/>
        <v>204845.35767173333</v>
      </c>
      <c r="K108" s="47">
        <v>180000</v>
      </c>
      <c r="L108" s="47">
        <f t="shared" si="27"/>
        <v>-24845.357671733334</v>
      </c>
      <c r="M108" s="48">
        <f>+L3</f>
        <v>87643.8</v>
      </c>
      <c r="N108" s="48">
        <f t="shared" si="28"/>
        <v>-112489.15767173334</v>
      </c>
      <c r="O108" s="50">
        <f t="shared" si="4"/>
        <v>0</v>
      </c>
      <c r="P108" s="35" t="s">
        <v>259</v>
      </c>
      <c r="Q108" s="35" t="s">
        <v>260</v>
      </c>
      <c r="R108" s="35" t="s">
        <v>197</v>
      </c>
      <c r="S108" s="51" t="s">
        <v>348</v>
      </c>
    </row>
    <row r="109" spans="1:19" hidden="1" x14ac:dyDescent="0.2">
      <c r="A109" s="34" t="s">
        <v>261</v>
      </c>
      <c r="B109" s="53" t="s">
        <v>262</v>
      </c>
      <c r="C109" s="36">
        <v>41468</v>
      </c>
      <c r="D109" s="37">
        <v>42857</v>
      </c>
      <c r="E109" s="38">
        <f t="shared" si="29"/>
        <v>46.3</v>
      </c>
      <c r="F109" s="46">
        <f t="shared" si="1"/>
        <v>1.6666666666666666E-2</v>
      </c>
      <c r="G109" s="47">
        <v>172700</v>
      </c>
      <c r="H109" s="48">
        <f t="shared" si="25"/>
        <v>39433.166666666657</v>
      </c>
      <c r="I109" s="49">
        <f>INDICES!J49/INDICES!D46</f>
        <v>1.1047889250332692</v>
      </c>
      <c r="J109" s="48">
        <f t="shared" si="26"/>
        <v>43565.325812324401</v>
      </c>
      <c r="K109" s="47">
        <v>122000</v>
      </c>
      <c r="L109" s="47">
        <f t="shared" si="27"/>
        <v>78434.674187675599</v>
      </c>
      <c r="M109" s="48">
        <f>+L3</f>
        <v>87643.8</v>
      </c>
      <c r="N109" s="48">
        <f t="shared" si="28"/>
        <v>-9209.1258123244043</v>
      </c>
      <c r="O109" s="50">
        <f t="shared" si="4"/>
        <v>0</v>
      </c>
      <c r="P109" s="35" t="s">
        <v>79</v>
      </c>
      <c r="Q109" s="35" t="s">
        <v>34</v>
      </c>
      <c r="R109" s="35" t="s">
        <v>197</v>
      </c>
      <c r="S109" s="51" t="s">
        <v>331</v>
      </c>
    </row>
    <row r="110" spans="1:19" ht="25.5" hidden="1" x14ac:dyDescent="0.2">
      <c r="A110" s="34" t="s">
        <v>263</v>
      </c>
      <c r="B110" s="53" t="s">
        <v>264</v>
      </c>
      <c r="C110" s="36">
        <v>42447</v>
      </c>
      <c r="D110" s="37">
        <v>42857</v>
      </c>
      <c r="E110" s="38">
        <f t="shared" si="29"/>
        <v>13.666666666666666</v>
      </c>
      <c r="F110" s="46">
        <f t="shared" si="1"/>
        <v>1.6666666666666666E-2</v>
      </c>
      <c r="G110" s="47">
        <v>249500</v>
      </c>
      <c r="H110" s="48">
        <f t="shared" si="25"/>
        <v>192669.44444444444</v>
      </c>
      <c r="I110" s="49">
        <f>INDICES!J49/INDICES!J47</f>
        <v>1.053853206156667</v>
      </c>
      <c r="J110" s="48">
        <f t="shared" si="26"/>
        <v>203045.31175620161</v>
      </c>
      <c r="K110" s="47">
        <v>208000</v>
      </c>
      <c r="L110" s="47">
        <f t="shared" si="27"/>
        <v>4954.6882437983877</v>
      </c>
      <c r="M110" s="48">
        <f>+L3</f>
        <v>87643.8</v>
      </c>
      <c r="N110" s="48">
        <f t="shared" si="28"/>
        <v>-82689.111756201615</v>
      </c>
      <c r="O110" s="50">
        <f t="shared" si="4"/>
        <v>0</v>
      </c>
      <c r="P110" s="35" t="s">
        <v>74</v>
      </c>
      <c r="Q110" s="35" t="s">
        <v>63</v>
      </c>
      <c r="R110" s="35" t="s">
        <v>215</v>
      </c>
      <c r="S110" s="51" t="s">
        <v>349</v>
      </c>
    </row>
    <row r="111" spans="1:19" ht="25.5" hidden="1" x14ac:dyDescent="0.2">
      <c r="A111" s="34" t="s">
        <v>265</v>
      </c>
      <c r="B111" s="53" t="s">
        <v>266</v>
      </c>
      <c r="C111" s="36">
        <v>41515</v>
      </c>
      <c r="D111" s="36">
        <v>42866</v>
      </c>
      <c r="E111" s="38">
        <f t="shared" si="29"/>
        <v>45.033333333333331</v>
      </c>
      <c r="F111" s="46">
        <f t="shared" si="1"/>
        <v>1.6666666666666666E-2</v>
      </c>
      <c r="G111" s="47">
        <v>279900</v>
      </c>
      <c r="H111" s="48">
        <f t="shared" si="25"/>
        <v>69819.5</v>
      </c>
      <c r="I111" s="49">
        <f>INDICES!J49/INDICES!M47</f>
        <v>1.0351016944749898</v>
      </c>
      <c r="J111" s="48">
        <f t="shared" si="26"/>
        <v>72270.282757396548</v>
      </c>
      <c r="K111" s="47">
        <v>140000</v>
      </c>
      <c r="L111" s="47">
        <f t="shared" si="27"/>
        <v>67729.717242603452</v>
      </c>
      <c r="M111" s="48">
        <f>+L3</f>
        <v>87643.8</v>
      </c>
      <c r="N111" s="48">
        <f t="shared" si="28"/>
        <v>-19914.082757396551</v>
      </c>
      <c r="O111" s="50">
        <f t="shared" si="4"/>
        <v>0</v>
      </c>
      <c r="P111" s="35" t="s">
        <v>267</v>
      </c>
      <c r="Q111" s="35" t="s">
        <v>67</v>
      </c>
      <c r="R111" s="35" t="s">
        <v>215</v>
      </c>
      <c r="S111" s="51" t="s">
        <v>350</v>
      </c>
    </row>
    <row r="112" spans="1:19" ht="25.5" hidden="1" x14ac:dyDescent="0.2">
      <c r="A112" s="34" t="s">
        <v>268</v>
      </c>
      <c r="B112" s="53" t="s">
        <v>269</v>
      </c>
      <c r="C112" s="36">
        <v>41425</v>
      </c>
      <c r="D112" s="37">
        <v>42865</v>
      </c>
      <c r="E112" s="38">
        <f t="shared" si="29"/>
        <v>48</v>
      </c>
      <c r="F112" s="46">
        <f t="shared" si="1"/>
        <v>1.6666666666666666E-2</v>
      </c>
      <c r="G112" s="47">
        <v>472200</v>
      </c>
      <c r="H112" s="48">
        <f t="shared" si="25"/>
        <v>94440</v>
      </c>
      <c r="I112" s="49">
        <f>INDICES!J49/INDICES!F46</f>
        <v>1.0960173826943176</v>
      </c>
      <c r="J112" s="48">
        <f t="shared" si="26"/>
        <v>103507.88162165135</v>
      </c>
      <c r="K112" s="98">
        <v>220000</v>
      </c>
      <c r="L112" s="47">
        <f t="shared" si="27"/>
        <v>116492.11837834865</v>
      </c>
      <c r="M112" s="48">
        <f>+L3</f>
        <v>87643.8</v>
      </c>
      <c r="N112" s="48">
        <f t="shared" si="28"/>
        <v>28848.318378348646</v>
      </c>
      <c r="O112" s="50">
        <f t="shared" si="4"/>
        <v>5769.6636756697299</v>
      </c>
      <c r="P112" s="35" t="s">
        <v>259</v>
      </c>
      <c r="Q112" s="35" t="s">
        <v>260</v>
      </c>
      <c r="R112" s="35" t="s">
        <v>197</v>
      </c>
      <c r="S112" s="51" t="s">
        <v>351</v>
      </c>
    </row>
    <row r="113" spans="1:19" ht="25.5" x14ac:dyDescent="0.2">
      <c r="A113" s="34" t="s">
        <v>270</v>
      </c>
      <c r="B113" s="53" t="s">
        <v>271</v>
      </c>
      <c r="C113" s="36">
        <v>40345</v>
      </c>
      <c r="D113" s="37">
        <v>42867</v>
      </c>
      <c r="E113" s="38">
        <f t="shared" si="29"/>
        <v>84.066666666666663</v>
      </c>
      <c r="F113" s="46">
        <f t="shared" si="1"/>
        <v>1.6666666666666666E-2</v>
      </c>
      <c r="G113" s="47">
        <v>642200</v>
      </c>
      <c r="H113" s="48">
        <f t="shared" si="25"/>
        <v>-257593.55555555562</v>
      </c>
      <c r="I113" s="49">
        <f>INDICES!J49/INDICES!E48</f>
        <v>1.0248613337676922</v>
      </c>
      <c r="J113" s="48">
        <f t="shared" si="26"/>
        <v>-263997.67491662886</v>
      </c>
      <c r="K113" s="99">
        <v>273000</v>
      </c>
      <c r="L113" s="47">
        <f t="shared" si="27"/>
        <v>536997.67491662886</v>
      </c>
      <c r="M113" s="48">
        <f>+L3</f>
        <v>87643.8</v>
      </c>
      <c r="N113" s="48">
        <f t="shared" si="28"/>
        <v>449353.87491662888</v>
      </c>
      <c r="O113" s="50">
        <f t="shared" si="4"/>
        <v>89870.774983325784</v>
      </c>
      <c r="P113" s="35" t="s">
        <v>33</v>
      </c>
      <c r="Q113" s="35" t="s">
        <v>34</v>
      </c>
      <c r="R113" s="35" t="s">
        <v>215</v>
      </c>
      <c r="S113" s="51" t="s">
        <v>331</v>
      </c>
    </row>
    <row r="114" spans="1:19" ht="25.5" hidden="1" x14ac:dyDescent="0.2">
      <c r="A114" s="34" t="s">
        <v>272</v>
      </c>
      <c r="B114" s="53" t="s">
        <v>273</v>
      </c>
      <c r="C114" s="36">
        <v>42305</v>
      </c>
      <c r="D114" s="37">
        <v>42866</v>
      </c>
      <c r="E114" s="38">
        <f t="shared" si="29"/>
        <v>18.7</v>
      </c>
      <c r="F114" s="46">
        <f t="shared" si="1"/>
        <v>1.6666666666666666E-2</v>
      </c>
      <c r="G114" s="47">
        <v>205200</v>
      </c>
      <c r="H114" s="48">
        <f t="shared" si="25"/>
        <v>141246</v>
      </c>
      <c r="I114" s="49">
        <f>INDICES!J49/INDICES!N44</f>
        <v>1.1544746067155314</v>
      </c>
      <c r="J114" s="48">
        <f t="shared" si="26"/>
        <v>163064.92030014194</v>
      </c>
      <c r="K114" s="47">
        <v>155000</v>
      </c>
      <c r="L114" s="47">
        <f t="shared" si="27"/>
        <v>-8064.9203001419373</v>
      </c>
      <c r="M114" s="48">
        <f>+L3</f>
        <v>87643.8</v>
      </c>
      <c r="N114" s="48">
        <f t="shared" si="28"/>
        <v>-95708.72030014194</v>
      </c>
      <c r="O114" s="50">
        <f t="shared" si="4"/>
        <v>0</v>
      </c>
      <c r="P114" s="35" t="s">
        <v>237</v>
      </c>
      <c r="Q114" s="35" t="s">
        <v>67</v>
      </c>
      <c r="R114" s="35" t="s">
        <v>215</v>
      </c>
      <c r="S114" s="51" t="s">
        <v>318</v>
      </c>
    </row>
    <row r="115" spans="1:19" hidden="1" x14ac:dyDescent="0.2">
      <c r="A115" s="34" t="s">
        <v>274</v>
      </c>
      <c r="B115" s="53" t="s">
        <v>275</v>
      </c>
      <c r="C115" s="36">
        <v>41843</v>
      </c>
      <c r="D115" s="37">
        <v>42859</v>
      </c>
      <c r="E115" s="38">
        <f t="shared" si="29"/>
        <v>33.866666666666667</v>
      </c>
      <c r="F115" s="46">
        <f t="shared" si="1"/>
        <v>1.6666666666666666E-2</v>
      </c>
      <c r="G115" s="47">
        <v>169486</v>
      </c>
      <c r="H115" s="48">
        <f t="shared" si="25"/>
        <v>73820.568888888898</v>
      </c>
      <c r="I115" s="49">
        <f>INDICES!J49/INDICES!E47</f>
        <v>1.0570119983377395</v>
      </c>
      <c r="J115" s="48">
        <f t="shared" si="26"/>
        <v>78029.22703967322</v>
      </c>
      <c r="K115" s="47">
        <v>102000</v>
      </c>
      <c r="L115" s="47">
        <f t="shared" si="27"/>
        <v>23970.77296032678</v>
      </c>
      <c r="M115" s="48">
        <f>+L3</f>
        <v>87643.8</v>
      </c>
      <c r="N115" s="48">
        <f t="shared" si="28"/>
        <v>-63673.027039673223</v>
      </c>
      <c r="O115" s="50">
        <f t="shared" si="4"/>
        <v>0</v>
      </c>
      <c r="P115" s="35" t="s">
        <v>74</v>
      </c>
      <c r="Q115" s="35" t="s">
        <v>63</v>
      </c>
      <c r="R115" s="35" t="s">
        <v>197</v>
      </c>
      <c r="S115" s="51" t="s">
        <v>318</v>
      </c>
    </row>
    <row r="116" spans="1:19" ht="25.5" hidden="1" x14ac:dyDescent="0.2">
      <c r="A116" s="34" t="s">
        <v>276</v>
      </c>
      <c r="B116" s="53" t="s">
        <v>277</v>
      </c>
      <c r="C116" s="36">
        <v>41670</v>
      </c>
      <c r="D116" s="37">
        <v>42861</v>
      </c>
      <c r="E116" s="38">
        <f t="shared" si="29"/>
        <v>39.700000000000003</v>
      </c>
      <c r="F116" s="46">
        <f t="shared" si="1"/>
        <v>1.6666666666666666E-2</v>
      </c>
      <c r="G116" s="47">
        <v>353200</v>
      </c>
      <c r="H116" s="48">
        <f t="shared" si="25"/>
        <v>119499.33333333331</v>
      </c>
      <c r="I116" s="49">
        <f>INDICES!J49/INDICES!F45</f>
        <v>1.1469758606132709</v>
      </c>
      <c r="J116" s="48">
        <f t="shared" si="26"/>
        <v>137062.85069271212</v>
      </c>
      <c r="K116" s="47">
        <v>210000</v>
      </c>
      <c r="L116" s="47">
        <f t="shared" si="27"/>
        <v>72937.14930728788</v>
      </c>
      <c r="M116" s="48">
        <f>+L3</f>
        <v>87643.8</v>
      </c>
      <c r="N116" s="48">
        <f t="shared" si="28"/>
        <v>-14706.650692712123</v>
      </c>
      <c r="O116" s="50">
        <f t="shared" si="4"/>
        <v>0</v>
      </c>
      <c r="P116" s="35" t="s">
        <v>267</v>
      </c>
      <c r="Q116" s="35" t="s">
        <v>67</v>
      </c>
      <c r="R116" s="35" t="s">
        <v>197</v>
      </c>
      <c r="S116" s="51" t="s">
        <v>352</v>
      </c>
    </row>
    <row r="117" spans="1:19" ht="25.5" hidden="1" x14ac:dyDescent="0.2">
      <c r="A117" s="34" t="s">
        <v>278</v>
      </c>
      <c r="B117" s="53" t="s">
        <v>279</v>
      </c>
      <c r="C117" s="36">
        <v>41669</v>
      </c>
      <c r="D117" s="37">
        <v>42872</v>
      </c>
      <c r="E117" s="38">
        <f t="shared" si="29"/>
        <v>40.1</v>
      </c>
      <c r="F117" s="46">
        <f t="shared" si="1"/>
        <v>1.6666666666666666E-2</v>
      </c>
      <c r="G117" s="47">
        <v>269890</v>
      </c>
      <c r="H117" s="48">
        <f t="shared" si="25"/>
        <v>89513.516666666634</v>
      </c>
      <c r="I117" s="49">
        <f>INDICES!J49/INDICES!L46</f>
        <v>1.0882947345422767</v>
      </c>
      <c r="J117" s="48">
        <f t="shared" si="26"/>
        <v>97417.088858695628</v>
      </c>
      <c r="K117" s="47">
        <v>169000</v>
      </c>
      <c r="L117" s="47">
        <f t="shared" si="27"/>
        <v>71582.911141304372</v>
      </c>
      <c r="M117" s="48">
        <f>+L3</f>
        <v>87643.8</v>
      </c>
      <c r="N117" s="48">
        <f t="shared" si="28"/>
        <v>-16060.888858695631</v>
      </c>
      <c r="O117" s="50">
        <f t="shared" si="4"/>
        <v>0</v>
      </c>
      <c r="P117" s="35" t="s">
        <v>280</v>
      </c>
      <c r="Q117" s="35" t="s">
        <v>67</v>
      </c>
      <c r="R117" s="35" t="s">
        <v>197</v>
      </c>
      <c r="S117" s="51" t="s">
        <v>327</v>
      </c>
    </row>
    <row r="118" spans="1:19" hidden="1" x14ac:dyDescent="0.2">
      <c r="A118" s="34" t="s">
        <v>281</v>
      </c>
      <c r="B118" s="53" t="s">
        <v>282</v>
      </c>
      <c r="C118" s="36">
        <v>41927</v>
      </c>
      <c r="D118" s="37">
        <v>42874</v>
      </c>
      <c r="E118" s="38">
        <f t="shared" si="29"/>
        <v>31.566666666666666</v>
      </c>
      <c r="F118" s="46">
        <f t="shared" si="1"/>
        <v>1.6666666666666666E-2</v>
      </c>
      <c r="G118" s="47">
        <v>158179.04999999999</v>
      </c>
      <c r="H118" s="48">
        <f t="shared" si="25"/>
        <v>74959.294250000006</v>
      </c>
      <c r="I118" s="49">
        <f>INDICES!K49/INDICES!G45</f>
        <v>1.1576338559562651</v>
      </c>
      <c r="J118" s="48">
        <f t="shared" si="26"/>
        <v>86775.4168423878</v>
      </c>
      <c r="K118" s="47">
        <v>130000</v>
      </c>
      <c r="L118" s="47">
        <f t="shared" si="27"/>
        <v>43224.5831576122</v>
      </c>
      <c r="M118" s="48">
        <f>+L3</f>
        <v>87643.8</v>
      </c>
      <c r="N118" s="48">
        <f t="shared" si="28"/>
        <v>-44419.216842387803</v>
      </c>
      <c r="O118" s="50">
        <f t="shared" si="4"/>
        <v>0</v>
      </c>
      <c r="P118" s="35" t="s">
        <v>43</v>
      </c>
      <c r="Q118" s="35" t="s">
        <v>44</v>
      </c>
      <c r="R118" s="35" t="s">
        <v>197</v>
      </c>
      <c r="S118" s="51" t="s">
        <v>327</v>
      </c>
    </row>
    <row r="119" spans="1:19" ht="25.5" hidden="1" x14ac:dyDescent="0.2">
      <c r="A119" s="34" t="s">
        <v>283</v>
      </c>
      <c r="B119" s="53" t="s">
        <v>284</v>
      </c>
      <c r="C119" s="36">
        <v>40327</v>
      </c>
      <c r="D119" s="37">
        <v>42878</v>
      </c>
      <c r="E119" s="38">
        <f t="shared" si="29"/>
        <v>85.033333333333331</v>
      </c>
      <c r="F119" s="46">
        <f t="shared" si="1"/>
        <v>1.6666666666666666E-2</v>
      </c>
      <c r="G119" s="47">
        <v>160068.51999999999</v>
      </c>
      <c r="H119" s="48">
        <f t="shared" si="25"/>
        <v>-66784.143622222211</v>
      </c>
      <c r="I119" s="49">
        <f>INDICES!K49/INDICES!K47</f>
        <v>1.055626256154609</v>
      </c>
      <c r="J119" s="48">
        <f t="shared" si="26"/>
        <v>-70499.095502418146</v>
      </c>
      <c r="K119" s="98">
        <v>80000</v>
      </c>
      <c r="L119" s="47">
        <f t="shared" si="27"/>
        <v>150499.09550241815</v>
      </c>
      <c r="M119" s="48">
        <f>+L3</f>
        <v>87643.8</v>
      </c>
      <c r="N119" s="48">
        <f t="shared" si="28"/>
        <v>62855.295502418143</v>
      </c>
      <c r="O119" s="50">
        <f t="shared" si="4"/>
        <v>12571.05910048363</v>
      </c>
      <c r="P119" s="35" t="s">
        <v>97</v>
      </c>
      <c r="Q119" s="35" t="s">
        <v>63</v>
      </c>
      <c r="R119" s="35" t="s">
        <v>197</v>
      </c>
      <c r="S119" s="51" t="s">
        <v>353</v>
      </c>
    </row>
    <row r="120" spans="1:19" ht="25.5" hidden="1" x14ac:dyDescent="0.2">
      <c r="A120" s="34" t="s">
        <v>285</v>
      </c>
      <c r="B120" s="53" t="s">
        <v>286</v>
      </c>
      <c r="C120" s="36">
        <v>41562</v>
      </c>
      <c r="D120" s="37">
        <v>42878</v>
      </c>
      <c r="E120" s="70">
        <f t="shared" si="29"/>
        <v>43.866666666666667</v>
      </c>
      <c r="F120" s="46">
        <f t="shared" si="1"/>
        <v>1.6666666666666666E-2</v>
      </c>
      <c r="G120" s="47">
        <v>343521</v>
      </c>
      <c r="H120" s="48">
        <f t="shared" si="25"/>
        <v>92368.979999999981</v>
      </c>
      <c r="I120" s="49">
        <f>INDICES!K49/INDICES!J47</f>
        <v>1.0602884394999912</v>
      </c>
      <c r="J120" s="48">
        <f t="shared" si="26"/>
        <v>97937.761662405872</v>
      </c>
      <c r="K120" s="98">
        <v>200000</v>
      </c>
      <c r="L120" s="47">
        <f t="shared" si="27"/>
        <v>102062.23833759413</v>
      </c>
      <c r="M120" s="48">
        <f>+L3</f>
        <v>87643.8</v>
      </c>
      <c r="N120" s="48">
        <f t="shared" si="28"/>
        <v>14418.438337594125</v>
      </c>
      <c r="O120" s="50">
        <f t="shared" si="4"/>
        <v>2883.687667518825</v>
      </c>
      <c r="P120" s="35" t="s">
        <v>237</v>
      </c>
      <c r="Q120" s="35" t="s">
        <v>67</v>
      </c>
      <c r="R120" s="35" t="s">
        <v>215</v>
      </c>
      <c r="S120" s="51" t="s">
        <v>324</v>
      </c>
    </row>
    <row r="121" spans="1:19" ht="25.5" x14ac:dyDescent="0.2">
      <c r="A121" s="34" t="s">
        <v>287</v>
      </c>
      <c r="B121" s="53" t="s">
        <v>288</v>
      </c>
      <c r="C121" s="36">
        <v>42067</v>
      </c>
      <c r="D121" s="37">
        <v>42878</v>
      </c>
      <c r="E121" s="70">
        <f t="shared" si="29"/>
        <v>27.033333333333335</v>
      </c>
      <c r="F121" s="46">
        <f t="shared" si="1"/>
        <v>1.6666666666666666E-2</v>
      </c>
      <c r="G121" s="47">
        <v>423434</v>
      </c>
      <c r="H121" s="48">
        <f t="shared" si="25"/>
        <v>232653.45888888888</v>
      </c>
      <c r="I121" s="49">
        <f>INDICES!K49/INDICES!E48</f>
        <v>1.0311195315781803</v>
      </c>
      <c r="J121" s="48">
        <f t="shared" si="26"/>
        <v>239893.52554955453</v>
      </c>
      <c r="K121" s="99">
        <v>311750</v>
      </c>
      <c r="L121" s="47">
        <f t="shared" si="27"/>
        <v>71856.474450445472</v>
      </c>
      <c r="M121" s="48">
        <f>+L3</f>
        <v>87643.8</v>
      </c>
      <c r="N121" s="48">
        <f t="shared" si="28"/>
        <v>-15787.325549554531</v>
      </c>
      <c r="O121" s="50">
        <f t="shared" si="4"/>
        <v>0</v>
      </c>
      <c r="P121" s="35" t="s">
        <v>267</v>
      </c>
      <c r="Q121" s="35" t="s">
        <v>67</v>
      </c>
      <c r="R121" s="35" t="s">
        <v>215</v>
      </c>
      <c r="S121" s="51" t="s">
        <v>324</v>
      </c>
    </row>
    <row r="122" spans="1:19" ht="25.5" x14ac:dyDescent="0.2">
      <c r="A122" s="34" t="s">
        <v>289</v>
      </c>
      <c r="B122" s="53" t="s">
        <v>290</v>
      </c>
      <c r="C122" s="36">
        <v>42080</v>
      </c>
      <c r="D122" s="37">
        <v>42879</v>
      </c>
      <c r="E122" s="70">
        <f t="shared" si="29"/>
        <v>26.633333333333333</v>
      </c>
      <c r="F122" s="46">
        <f t="shared" si="1"/>
        <v>1.6666666666666666E-2</v>
      </c>
      <c r="G122" s="47">
        <v>378000</v>
      </c>
      <c r="H122" s="48">
        <f t="shared" si="25"/>
        <v>210210</v>
      </c>
      <c r="I122" s="49">
        <f>INDICES!K49/INDICES!K48</f>
        <v>1.0296894931041274</v>
      </c>
      <c r="J122" s="48">
        <f t="shared" si="26"/>
        <v>216451.02834541863</v>
      </c>
      <c r="K122" s="99">
        <v>265000</v>
      </c>
      <c r="L122" s="47">
        <f t="shared" si="27"/>
        <v>48548.971654581372</v>
      </c>
      <c r="M122" s="48">
        <f>+L3</f>
        <v>87643.8</v>
      </c>
      <c r="N122" s="48">
        <f t="shared" si="28"/>
        <v>-39094.828345418631</v>
      </c>
      <c r="O122" s="50">
        <f t="shared" si="4"/>
        <v>0</v>
      </c>
      <c r="P122" s="35" t="s">
        <v>291</v>
      </c>
      <c r="Q122" s="35" t="s">
        <v>67</v>
      </c>
      <c r="R122" s="35" t="s">
        <v>215</v>
      </c>
      <c r="S122" s="51" t="s">
        <v>324</v>
      </c>
    </row>
    <row r="123" spans="1:19" ht="25.5" hidden="1" x14ac:dyDescent="0.2">
      <c r="A123" s="34" t="s">
        <v>292</v>
      </c>
      <c r="B123" s="53" t="s">
        <v>293</v>
      </c>
      <c r="C123" s="36">
        <v>40711</v>
      </c>
      <c r="D123" s="37">
        <v>42880</v>
      </c>
      <c r="E123" s="70">
        <f t="shared" si="29"/>
        <v>72.3</v>
      </c>
      <c r="F123" s="46">
        <f t="shared" si="1"/>
        <v>1.6666666666666666E-2</v>
      </c>
      <c r="G123" s="47">
        <v>250972</v>
      </c>
      <c r="H123" s="48">
        <f t="shared" si="25"/>
        <v>-51449.260000000009</v>
      </c>
      <c r="I123" s="49">
        <f>INDICES!K49/INDICES!N46</f>
        <v>1.0786400975714747</v>
      </c>
      <c r="J123" s="48">
        <f t="shared" si="26"/>
        <v>-55495.234826380183</v>
      </c>
      <c r="K123" s="98">
        <v>100000</v>
      </c>
      <c r="L123" s="47">
        <f t="shared" si="27"/>
        <v>155495.23482638018</v>
      </c>
      <c r="M123" s="48">
        <f>+L3</f>
        <v>87643.8</v>
      </c>
      <c r="N123" s="48">
        <f t="shared" si="28"/>
        <v>67851.43482638018</v>
      </c>
      <c r="O123" s="50">
        <f t="shared" si="4"/>
        <v>13570.286965276036</v>
      </c>
      <c r="P123" s="35" t="s">
        <v>97</v>
      </c>
      <c r="Q123" s="35" t="s">
        <v>63</v>
      </c>
      <c r="R123" s="35" t="s">
        <v>215</v>
      </c>
      <c r="S123" s="51" t="s">
        <v>331</v>
      </c>
    </row>
    <row r="124" spans="1:19" ht="25.5" x14ac:dyDescent="0.2">
      <c r="A124" s="34" t="s">
        <v>294</v>
      </c>
      <c r="B124" s="53" t="s">
        <v>295</v>
      </c>
      <c r="C124" s="36">
        <v>42464</v>
      </c>
      <c r="D124" s="37">
        <v>42880</v>
      </c>
      <c r="E124" s="70">
        <f t="shared" si="29"/>
        <v>13.866666666666667</v>
      </c>
      <c r="F124" s="46">
        <f t="shared" si="1"/>
        <v>1.6666666666666666E-2</v>
      </c>
      <c r="G124" s="47">
        <v>558200</v>
      </c>
      <c r="H124" s="48">
        <f t="shared" si="25"/>
        <v>429193.77777777775</v>
      </c>
      <c r="I124" s="49">
        <f>INDICES!K49/INDICES!L47</f>
        <v>1.0498215049446185</v>
      </c>
      <c r="J124" s="48">
        <f t="shared" si="26"/>
        <v>450576.85769953276</v>
      </c>
      <c r="K124" s="99">
        <v>450000</v>
      </c>
      <c r="L124" s="47">
        <f t="shared" si="27"/>
        <v>-576.85769953276031</v>
      </c>
      <c r="M124" s="48">
        <f>+L3</f>
        <v>87643.8</v>
      </c>
      <c r="N124" s="48">
        <f t="shared" si="28"/>
        <v>-88220.657699532763</v>
      </c>
      <c r="O124" s="50">
        <f t="shared" si="4"/>
        <v>0</v>
      </c>
      <c r="P124" s="35" t="s">
        <v>66</v>
      </c>
      <c r="Q124" s="35" t="s">
        <v>67</v>
      </c>
      <c r="R124" s="35" t="s">
        <v>197</v>
      </c>
      <c r="S124" s="51" t="s">
        <v>318</v>
      </c>
    </row>
    <row r="125" spans="1:19" ht="25.5" hidden="1" x14ac:dyDescent="0.2">
      <c r="A125" s="34" t="s">
        <v>296</v>
      </c>
      <c r="B125" s="53" t="s">
        <v>297</v>
      </c>
      <c r="C125" s="36">
        <v>42241</v>
      </c>
      <c r="D125" s="37">
        <v>42881</v>
      </c>
      <c r="E125" s="70">
        <f t="shared" si="29"/>
        <v>21.333333333333332</v>
      </c>
      <c r="F125" s="46">
        <f t="shared" si="1"/>
        <v>1.6666666666666666E-2</v>
      </c>
      <c r="G125" s="47">
        <v>149055</v>
      </c>
      <c r="H125" s="48">
        <f t="shared" si="25"/>
        <v>96057.666666666672</v>
      </c>
      <c r="I125" s="49">
        <f>INDICES!K49/INDICES!L47</f>
        <v>1.0498215049446185</v>
      </c>
      <c r="J125" s="48">
        <f t="shared" si="26"/>
        <v>100843.40418146852</v>
      </c>
      <c r="K125" s="47">
        <v>128000</v>
      </c>
      <c r="L125" s="47">
        <f t="shared" si="27"/>
        <v>27156.595818531481</v>
      </c>
      <c r="M125" s="48">
        <f>+L3</f>
        <v>87643.8</v>
      </c>
      <c r="N125" s="48">
        <f t="shared" si="28"/>
        <v>-60487.204181468522</v>
      </c>
      <c r="O125" s="50">
        <f t="shared" si="4"/>
        <v>0</v>
      </c>
      <c r="P125" s="35" t="s">
        <v>66</v>
      </c>
      <c r="Q125" s="35" t="s">
        <v>67</v>
      </c>
      <c r="R125" s="35" t="s">
        <v>215</v>
      </c>
      <c r="S125" s="51" t="s">
        <v>318</v>
      </c>
    </row>
    <row r="126" spans="1:19" ht="25.5" hidden="1" x14ac:dyDescent="0.2">
      <c r="A126" s="34" t="s">
        <v>298</v>
      </c>
      <c r="B126" s="53" t="s">
        <v>380</v>
      </c>
      <c r="C126" s="36">
        <v>42360</v>
      </c>
      <c r="D126" s="37">
        <v>42884</v>
      </c>
      <c r="E126" s="70">
        <f t="shared" si="29"/>
        <v>17.466666666666665</v>
      </c>
      <c r="F126" s="46">
        <f t="shared" si="1"/>
        <v>1.6666666666666666E-2</v>
      </c>
      <c r="G126" s="47">
        <v>238800</v>
      </c>
      <c r="H126" s="48">
        <f t="shared" si="25"/>
        <v>169282.66666666669</v>
      </c>
      <c r="I126" s="49">
        <f>INDICES!K49/INDICES!C47</f>
        <v>1.0690813741611485</v>
      </c>
      <c r="J126" s="48">
        <f t="shared" si="26"/>
        <v>180976.94590166365</v>
      </c>
      <c r="K126" s="47">
        <v>200000</v>
      </c>
      <c r="L126" s="47">
        <f t="shared" si="27"/>
        <v>19023.054098336346</v>
      </c>
      <c r="M126" s="48">
        <f>+L3</f>
        <v>87643.8</v>
      </c>
      <c r="N126" s="48">
        <f t="shared" si="28"/>
        <v>-68620.745901663657</v>
      </c>
      <c r="O126" s="50">
        <f t="shared" si="4"/>
        <v>0</v>
      </c>
      <c r="P126" s="35" t="s">
        <v>291</v>
      </c>
      <c r="Q126" s="35" t="s">
        <v>67</v>
      </c>
      <c r="R126" s="35" t="s">
        <v>215</v>
      </c>
      <c r="S126" s="51" t="s">
        <v>318</v>
      </c>
    </row>
    <row r="127" spans="1:19" ht="25.5" x14ac:dyDescent="0.2">
      <c r="A127" s="34" t="s">
        <v>299</v>
      </c>
      <c r="B127" s="53" t="s">
        <v>381</v>
      </c>
      <c r="C127" s="36">
        <v>41184</v>
      </c>
      <c r="D127" s="37">
        <v>42884</v>
      </c>
      <c r="E127" s="70">
        <f t="shared" si="29"/>
        <v>56.666666666666664</v>
      </c>
      <c r="F127" s="46">
        <f t="shared" si="1"/>
        <v>1.6666666666666666E-2</v>
      </c>
      <c r="G127" s="47">
        <v>614711</v>
      </c>
      <c r="H127" s="48">
        <f t="shared" si="25"/>
        <v>34150.61111111124</v>
      </c>
      <c r="I127" s="49">
        <f>INDICES!K49/INDICES!L46</f>
        <v>1.0949402811157236</v>
      </c>
      <c r="J127" s="48">
        <f t="shared" si="26"/>
        <v>37392.879730273897</v>
      </c>
      <c r="K127" s="99">
        <v>285000</v>
      </c>
      <c r="L127" s="47">
        <f t="shared" si="27"/>
        <v>247607.12026972609</v>
      </c>
      <c r="M127" s="48">
        <f>+L3</f>
        <v>87643.8</v>
      </c>
      <c r="N127" s="48">
        <f t="shared" si="28"/>
        <v>159963.3202697261</v>
      </c>
      <c r="O127" s="50">
        <f t="shared" si="4"/>
        <v>31992.66405394522</v>
      </c>
      <c r="P127" s="35" t="s">
        <v>66</v>
      </c>
      <c r="Q127" s="35" t="s">
        <v>67</v>
      </c>
      <c r="R127" s="35" t="s">
        <v>215</v>
      </c>
      <c r="S127" s="51" t="s">
        <v>382</v>
      </c>
    </row>
    <row r="128" spans="1:19" ht="25.5" hidden="1" x14ac:dyDescent="0.2">
      <c r="A128" s="34" t="s">
        <v>300</v>
      </c>
      <c r="B128" s="53" t="s">
        <v>383</v>
      </c>
      <c r="C128" s="36">
        <v>39445</v>
      </c>
      <c r="D128" s="37">
        <v>42846</v>
      </c>
      <c r="E128" s="70">
        <f t="shared" si="29"/>
        <v>113.36666666666666</v>
      </c>
      <c r="F128" s="46">
        <f t="shared" si="1"/>
        <v>1.6666666666666666E-2</v>
      </c>
      <c r="G128" s="47">
        <v>353700</v>
      </c>
      <c r="H128" s="48">
        <f>G128-(G128*F128*E128)</f>
        <v>-314596.5</v>
      </c>
      <c r="I128" s="49">
        <f>INDICES!K49/INDICES!N44</f>
        <v>1.1615242730635147</v>
      </c>
      <c r="J128" s="48">
        <f>+H128*I128</f>
        <v>-365411.47097082599</v>
      </c>
      <c r="K128" s="98">
        <v>183000</v>
      </c>
      <c r="L128" s="99">
        <f>+K128-J128</f>
        <v>548411.47097082599</v>
      </c>
      <c r="M128" s="48">
        <f>+L3</f>
        <v>87643.8</v>
      </c>
      <c r="N128" s="48">
        <f>+L128-M128</f>
        <v>460767.670970826</v>
      </c>
      <c r="O128" s="50">
        <f t="shared" si="4"/>
        <v>92153.5341941652</v>
      </c>
      <c r="P128" s="35" t="s">
        <v>228</v>
      </c>
      <c r="Q128" s="35" t="s">
        <v>34</v>
      </c>
      <c r="R128" s="35" t="s">
        <v>215</v>
      </c>
      <c r="S128" s="51" t="s">
        <v>320</v>
      </c>
    </row>
    <row r="129" spans="1:19" ht="25.5" hidden="1" x14ac:dyDescent="0.2">
      <c r="A129" s="34" t="s">
        <v>301</v>
      </c>
      <c r="B129" s="53" t="s">
        <v>171</v>
      </c>
      <c r="C129" s="36">
        <v>42075</v>
      </c>
      <c r="D129" s="37">
        <v>42885</v>
      </c>
      <c r="E129" s="70">
        <f t="shared" si="29"/>
        <v>27</v>
      </c>
      <c r="F129" s="46">
        <f t="shared" si="1"/>
        <v>1.6666666666666666E-2</v>
      </c>
      <c r="G129" s="47">
        <v>165900</v>
      </c>
      <c r="H129" s="48">
        <f t="shared" ref="H129:H140" si="30">G129-(G129*F129*E129)</f>
        <v>91245</v>
      </c>
      <c r="I129" s="49">
        <f>INDICES!K49/INDICES!D49</f>
        <v>1.0064599807539434</v>
      </c>
      <c r="J129" s="48">
        <f t="shared" ref="J129:J140" si="31">+H129*I129</f>
        <v>91834.440943893569</v>
      </c>
      <c r="K129" s="47">
        <v>125000</v>
      </c>
      <c r="L129" s="47">
        <f t="shared" ref="L129:L139" si="32">+K129-J129</f>
        <v>33165.559056106431</v>
      </c>
      <c r="M129" s="48">
        <f>+L3</f>
        <v>87643.8</v>
      </c>
      <c r="N129" s="48">
        <f t="shared" ref="N129:N136" si="33">+L129-M129</f>
        <v>-54478.240943893572</v>
      </c>
      <c r="O129" s="50">
        <f t="shared" si="4"/>
        <v>0</v>
      </c>
      <c r="P129" s="35" t="s">
        <v>169</v>
      </c>
      <c r="Q129" s="35" t="s">
        <v>34</v>
      </c>
      <c r="R129" s="35" t="s">
        <v>215</v>
      </c>
      <c r="S129" s="51" t="s">
        <v>331</v>
      </c>
    </row>
    <row r="130" spans="1:19" ht="25.5" hidden="1" x14ac:dyDescent="0.2">
      <c r="A130" s="34" t="s">
        <v>302</v>
      </c>
      <c r="B130" s="53" t="s">
        <v>358</v>
      </c>
      <c r="C130" s="36">
        <v>41668</v>
      </c>
      <c r="D130" s="37">
        <v>42885</v>
      </c>
      <c r="E130" s="70">
        <f t="shared" si="29"/>
        <v>40.56666666666667</v>
      </c>
      <c r="F130" s="46">
        <f t="shared" si="1"/>
        <v>1.6666666666666666E-2</v>
      </c>
      <c r="G130" s="47">
        <v>408600</v>
      </c>
      <c r="H130" s="48">
        <f t="shared" si="30"/>
        <v>132341</v>
      </c>
      <c r="I130" s="49">
        <f>INDICES!K49/INDICES!K47</f>
        <v>1.055626256154609</v>
      </c>
      <c r="J130" s="48">
        <f t="shared" si="31"/>
        <v>139702.63436575711</v>
      </c>
      <c r="K130" s="47">
        <v>187000</v>
      </c>
      <c r="L130" s="47">
        <f t="shared" si="32"/>
        <v>47297.365634242888</v>
      </c>
      <c r="M130" s="48">
        <f>+L3</f>
        <v>87643.8</v>
      </c>
      <c r="N130" s="48">
        <f t="shared" si="33"/>
        <v>-40346.434365757115</v>
      </c>
      <c r="O130" s="50">
        <f t="shared" si="4"/>
        <v>0</v>
      </c>
      <c r="P130" s="35" t="s">
        <v>57</v>
      </c>
      <c r="Q130" s="35" t="s">
        <v>44</v>
      </c>
      <c r="R130" s="35" t="s">
        <v>215</v>
      </c>
      <c r="S130" s="51" t="s">
        <v>331</v>
      </c>
    </row>
    <row r="131" spans="1:19" ht="25.5" hidden="1" x14ac:dyDescent="0.2">
      <c r="A131" s="34" t="s">
        <v>303</v>
      </c>
      <c r="B131" s="53" t="s">
        <v>384</v>
      </c>
      <c r="C131" s="36">
        <v>41026</v>
      </c>
      <c r="D131" s="37">
        <v>42885</v>
      </c>
      <c r="E131" s="70">
        <f t="shared" si="29"/>
        <v>61.966666666666669</v>
      </c>
      <c r="F131" s="46">
        <f t="shared" ref="F131:F136" si="34">0.2/12</f>
        <v>1.6666666666666666E-2</v>
      </c>
      <c r="G131" s="47">
        <v>261000</v>
      </c>
      <c r="H131" s="48">
        <f t="shared" si="30"/>
        <v>-8555</v>
      </c>
      <c r="I131" s="49">
        <f>INDICES!L49/INDICES!L47</f>
        <v>1.0561932110780403</v>
      </c>
      <c r="J131" s="48">
        <f t="shared" si="31"/>
        <v>-9035.7329207726343</v>
      </c>
      <c r="K131" s="98">
        <v>137000</v>
      </c>
      <c r="L131" s="47">
        <f t="shared" si="32"/>
        <v>146035.73292077263</v>
      </c>
      <c r="M131" s="48">
        <f>+L3</f>
        <v>87643.8</v>
      </c>
      <c r="N131" s="48">
        <f t="shared" si="33"/>
        <v>58391.932920772626</v>
      </c>
      <c r="O131" s="50">
        <f t="shared" ref="O131:O137" si="35">IF(N131&gt;1,N131*0.2,0)</f>
        <v>11678.386584154527</v>
      </c>
      <c r="P131" s="35" t="s">
        <v>385</v>
      </c>
      <c r="Q131" s="35" t="s">
        <v>63</v>
      </c>
      <c r="R131" s="35" t="s">
        <v>215</v>
      </c>
      <c r="S131" s="51" t="s">
        <v>318</v>
      </c>
    </row>
    <row r="132" spans="1:19" ht="25.5" hidden="1" x14ac:dyDescent="0.2">
      <c r="A132" s="34" t="s">
        <v>304</v>
      </c>
      <c r="B132" s="53" t="s">
        <v>386</v>
      </c>
      <c r="C132" s="36">
        <v>42024</v>
      </c>
      <c r="D132" s="37">
        <v>42885</v>
      </c>
      <c r="E132" s="70">
        <f t="shared" si="29"/>
        <v>28.7</v>
      </c>
      <c r="F132" s="46">
        <f t="shared" si="34"/>
        <v>1.6666666666666666E-2</v>
      </c>
      <c r="G132" s="47">
        <v>214700</v>
      </c>
      <c r="H132" s="48">
        <f t="shared" si="30"/>
        <v>112001.83333333333</v>
      </c>
      <c r="I132" s="49">
        <f>INDICES!L49/INDICES!E48</f>
        <v>1.0373777293886683</v>
      </c>
      <c r="J132" s="48">
        <f t="shared" si="31"/>
        <v>116188.20755070139</v>
      </c>
      <c r="K132" s="47">
        <v>156500</v>
      </c>
      <c r="L132" s="47">
        <f t="shared" si="32"/>
        <v>40311.792449298606</v>
      </c>
      <c r="M132" s="48">
        <f>+L3</f>
        <v>87643.8</v>
      </c>
      <c r="N132" s="48">
        <f t="shared" si="33"/>
        <v>-47332.007550701397</v>
      </c>
      <c r="O132" s="50">
        <f t="shared" si="35"/>
        <v>0</v>
      </c>
      <c r="P132" s="35" t="s">
        <v>130</v>
      </c>
      <c r="Q132" s="35" t="s">
        <v>67</v>
      </c>
      <c r="R132" s="35" t="s">
        <v>215</v>
      </c>
      <c r="S132" s="51" t="s">
        <v>387</v>
      </c>
    </row>
    <row r="133" spans="1:19" ht="25.5" hidden="1" x14ac:dyDescent="0.2">
      <c r="A133" s="34" t="s">
        <v>305</v>
      </c>
      <c r="B133" s="53" t="s">
        <v>388</v>
      </c>
      <c r="C133" s="36">
        <v>41955</v>
      </c>
      <c r="D133" s="37">
        <v>42886</v>
      </c>
      <c r="E133" s="70">
        <f t="shared" si="29"/>
        <v>31.033333333333335</v>
      </c>
      <c r="F133" s="46">
        <f t="shared" si="34"/>
        <v>1.6666666666666666E-2</v>
      </c>
      <c r="G133" s="47">
        <v>159900</v>
      </c>
      <c r="H133" s="48">
        <f t="shared" si="30"/>
        <v>77196.166666666657</v>
      </c>
      <c r="I133" s="49">
        <f>INDICES!L49/INDICES!M46</f>
        <v>1.091411718017173</v>
      </c>
      <c r="J133" s="48">
        <f t="shared" si="31"/>
        <v>84252.800886006677</v>
      </c>
      <c r="K133" s="47">
        <v>110000</v>
      </c>
      <c r="L133" s="47">
        <f t="shared" si="32"/>
        <v>25747.199113993323</v>
      </c>
      <c r="M133" s="48">
        <f>+M7</f>
        <v>87643.8</v>
      </c>
      <c r="N133" s="48">
        <f t="shared" si="33"/>
        <v>-61896.60088600668</v>
      </c>
      <c r="O133" s="50">
        <f t="shared" si="35"/>
        <v>0</v>
      </c>
      <c r="P133" s="35" t="s">
        <v>43</v>
      </c>
      <c r="Q133" s="35" t="s">
        <v>44</v>
      </c>
      <c r="R133" s="35" t="s">
        <v>197</v>
      </c>
      <c r="S133" s="51" t="s">
        <v>332</v>
      </c>
    </row>
    <row r="134" spans="1:19" ht="25.5" x14ac:dyDescent="0.2">
      <c r="A134" s="34" t="s">
        <v>306</v>
      </c>
      <c r="B134" s="53" t="s">
        <v>389</v>
      </c>
      <c r="C134" s="36">
        <v>41949</v>
      </c>
      <c r="D134" s="37">
        <v>42887</v>
      </c>
      <c r="E134" s="70">
        <f t="shared" si="29"/>
        <v>31.266666666666666</v>
      </c>
      <c r="F134" s="46">
        <f t="shared" si="34"/>
        <v>1.6666666666666666E-2</v>
      </c>
      <c r="G134" s="47">
        <v>564000</v>
      </c>
      <c r="H134" s="48">
        <f t="shared" si="30"/>
        <v>270093.33333333331</v>
      </c>
      <c r="I134" s="49">
        <f>INDICES!L49/INDICES!H49</f>
        <v>1.0177122143632098</v>
      </c>
      <c r="J134" s="48">
        <f t="shared" si="31"/>
        <v>274877.2843514072</v>
      </c>
      <c r="K134" s="99">
        <v>367000</v>
      </c>
      <c r="L134" s="47">
        <f t="shared" si="32"/>
        <v>92122.715648592799</v>
      </c>
      <c r="M134" s="48">
        <f>+M8</f>
        <v>87643.8</v>
      </c>
      <c r="N134" s="48">
        <f t="shared" si="33"/>
        <v>4478.9156485927961</v>
      </c>
      <c r="O134" s="50">
        <f t="shared" si="35"/>
        <v>895.78312971855928</v>
      </c>
      <c r="P134" s="35" t="s">
        <v>385</v>
      </c>
      <c r="Q134" s="35" t="s">
        <v>67</v>
      </c>
      <c r="R134" s="35" t="s">
        <v>197</v>
      </c>
      <c r="S134" s="51" t="s">
        <v>390</v>
      </c>
    </row>
    <row r="135" spans="1:19" ht="25.5" hidden="1" x14ac:dyDescent="0.2">
      <c r="A135" s="34" t="s">
        <v>307</v>
      </c>
      <c r="B135" s="53" t="s">
        <v>391</v>
      </c>
      <c r="C135" s="36">
        <v>41605</v>
      </c>
      <c r="D135" s="37">
        <v>42888</v>
      </c>
      <c r="E135" s="70">
        <f t="shared" ref="E135:E166" si="36">(D135-C135)/30</f>
        <v>42.766666666666666</v>
      </c>
      <c r="F135" s="46">
        <f t="shared" si="34"/>
        <v>1.6666666666666666E-2</v>
      </c>
      <c r="G135" s="47">
        <v>255000</v>
      </c>
      <c r="H135" s="48">
        <f t="shared" si="30"/>
        <v>73241.666666666657</v>
      </c>
      <c r="I135" s="49">
        <f>INDICES!L49/INDICES!E48</f>
        <v>1.0373777293886683</v>
      </c>
      <c r="J135" s="48">
        <f t="shared" si="31"/>
        <v>75979.273863308379</v>
      </c>
      <c r="K135" s="47">
        <v>140000</v>
      </c>
      <c r="L135" s="47">
        <f t="shared" si="32"/>
        <v>64020.726136691621</v>
      </c>
      <c r="M135" s="48">
        <f>+M9</f>
        <v>87643.8</v>
      </c>
      <c r="N135" s="48">
        <f t="shared" si="33"/>
        <v>-23623.073863308382</v>
      </c>
      <c r="O135" s="50">
        <f t="shared" si="35"/>
        <v>0</v>
      </c>
      <c r="P135" s="35" t="s">
        <v>267</v>
      </c>
      <c r="Q135" s="35" t="s">
        <v>67</v>
      </c>
      <c r="R135" s="35" t="s">
        <v>197</v>
      </c>
      <c r="S135" s="51" t="s">
        <v>318</v>
      </c>
    </row>
    <row r="136" spans="1:19" ht="25.5" hidden="1" x14ac:dyDescent="0.2">
      <c r="A136" s="34" t="s">
        <v>308</v>
      </c>
      <c r="B136" s="53" t="s">
        <v>392</v>
      </c>
      <c r="C136" s="36">
        <v>41849</v>
      </c>
      <c r="D136" s="37">
        <v>42888</v>
      </c>
      <c r="E136" s="70">
        <f t="shared" si="36"/>
        <v>34.633333333333333</v>
      </c>
      <c r="F136" s="46">
        <f t="shared" si="34"/>
        <v>1.6666666666666666E-2</v>
      </c>
      <c r="G136" s="47">
        <v>179000</v>
      </c>
      <c r="H136" s="48">
        <f t="shared" si="30"/>
        <v>75677.222222222219</v>
      </c>
      <c r="I136" s="49">
        <f>INDICES!L49/INDICES!I47</f>
        <v>1.0705552409937009</v>
      </c>
      <c r="J136" s="48">
        <f t="shared" si="31"/>
        <v>81016.646873844962</v>
      </c>
      <c r="K136" s="47">
        <v>128000</v>
      </c>
      <c r="L136" s="47">
        <f t="shared" si="32"/>
        <v>46983.353126155038</v>
      </c>
      <c r="M136" s="48">
        <f>+M10</f>
        <v>87643.8</v>
      </c>
      <c r="N136" s="48">
        <f t="shared" si="33"/>
        <v>-40660.446873844965</v>
      </c>
      <c r="O136" s="50">
        <f t="shared" si="35"/>
        <v>0</v>
      </c>
      <c r="P136" s="35" t="s">
        <v>172</v>
      </c>
      <c r="Q136" s="35" t="s">
        <v>44</v>
      </c>
      <c r="R136" s="35" t="s">
        <v>197</v>
      </c>
      <c r="S136" s="51" t="s">
        <v>335</v>
      </c>
    </row>
    <row r="137" spans="1:19" ht="25.5" hidden="1" x14ac:dyDescent="0.2">
      <c r="A137" s="71" t="s">
        <v>360</v>
      </c>
      <c r="B137" s="72" t="s">
        <v>443</v>
      </c>
      <c r="C137" s="37">
        <v>42506</v>
      </c>
      <c r="D137" s="37">
        <v>42889</v>
      </c>
      <c r="E137" s="70">
        <f t="shared" si="36"/>
        <v>12.766666666666667</v>
      </c>
      <c r="F137" s="46">
        <f t="shared" ref="F137:F146" si="37">0.2/12</f>
        <v>1.6666666666666666E-2</v>
      </c>
      <c r="G137" s="47">
        <v>211200</v>
      </c>
      <c r="H137" s="48">
        <f t="shared" si="30"/>
        <v>166261.33333333331</v>
      </c>
      <c r="I137" s="49">
        <f>INDICES!L49/INDICES!G48</f>
        <v>1.0452904184375109</v>
      </c>
      <c r="J137" s="48">
        <f t="shared" si="31"/>
        <v>173791.37868997848</v>
      </c>
      <c r="K137" s="47">
        <v>165000</v>
      </c>
      <c r="L137" s="47">
        <f t="shared" si="32"/>
        <v>-8791.3786899784754</v>
      </c>
      <c r="M137" s="48">
        <f>+L3</f>
        <v>87643.8</v>
      </c>
      <c r="N137" s="48">
        <f t="shared" ref="N137:N144" si="38">+L137-M137</f>
        <v>-96435.178689978478</v>
      </c>
      <c r="O137" s="50">
        <f t="shared" si="35"/>
        <v>0</v>
      </c>
      <c r="P137" s="35" t="s">
        <v>66</v>
      </c>
      <c r="Q137" s="35" t="s">
        <v>67</v>
      </c>
      <c r="R137" s="35" t="s">
        <v>215</v>
      </c>
      <c r="S137" s="51" t="s">
        <v>387</v>
      </c>
    </row>
    <row r="138" spans="1:19" ht="25.5" hidden="1" x14ac:dyDescent="0.2">
      <c r="A138" s="71" t="s">
        <v>361</v>
      </c>
      <c r="B138" s="72" t="s">
        <v>444</v>
      </c>
      <c r="C138" s="37">
        <v>42366</v>
      </c>
      <c r="D138" s="37">
        <v>42891</v>
      </c>
      <c r="E138" s="70">
        <f t="shared" si="36"/>
        <v>17.5</v>
      </c>
      <c r="F138" s="46">
        <f t="shared" si="37"/>
        <v>1.6666666666666666E-2</v>
      </c>
      <c r="G138" s="47">
        <v>238800</v>
      </c>
      <c r="H138" s="48">
        <f t="shared" si="30"/>
        <v>169150</v>
      </c>
      <c r="I138" s="49">
        <f>INDICES!L49/INDICES!I46</f>
        <v>1.1141526024546771</v>
      </c>
      <c r="J138" s="48">
        <f t="shared" si="31"/>
        <v>188458.91270520861</v>
      </c>
      <c r="K138" s="47">
        <v>175000</v>
      </c>
      <c r="L138" s="47">
        <f t="shared" si="32"/>
        <v>-13458.912705208611</v>
      </c>
      <c r="M138" s="48">
        <f>+L3</f>
        <v>87643.8</v>
      </c>
      <c r="N138" s="48">
        <f t="shared" si="38"/>
        <v>-101102.71270520861</v>
      </c>
      <c r="O138" s="50">
        <f t="shared" ref="O138:O143" si="39">IF(N138&gt;1,N138*0.2,0)</f>
        <v>0</v>
      </c>
      <c r="P138" s="35" t="s">
        <v>33</v>
      </c>
      <c r="Q138" s="35" t="s">
        <v>34</v>
      </c>
      <c r="R138" s="35" t="s">
        <v>215</v>
      </c>
      <c r="S138" s="51" t="s">
        <v>340</v>
      </c>
    </row>
    <row r="139" spans="1:19" x14ac:dyDescent="0.2">
      <c r="A139" s="71" t="s">
        <v>362</v>
      </c>
      <c r="B139" s="72" t="s">
        <v>445</v>
      </c>
      <c r="C139" s="37">
        <v>42165</v>
      </c>
      <c r="D139" s="37">
        <v>42891</v>
      </c>
      <c r="E139" s="70">
        <f t="shared" si="36"/>
        <v>24.2</v>
      </c>
      <c r="F139" s="46">
        <f t="shared" si="37"/>
        <v>1.6666666666666666E-2</v>
      </c>
      <c r="G139" s="47">
        <v>499900</v>
      </c>
      <c r="H139" s="48">
        <f t="shared" si="30"/>
        <v>298273.66666666669</v>
      </c>
      <c r="I139" s="49">
        <f>INDICES!L49/INDICES!E47</f>
        <v>1.0699210426263717</v>
      </c>
      <c r="J139" s="48">
        <f t="shared" si="31"/>
        <v>319129.27242799086</v>
      </c>
      <c r="K139" s="99">
        <v>307000</v>
      </c>
      <c r="L139" s="47">
        <f t="shared" si="32"/>
        <v>-12129.272427990858</v>
      </c>
      <c r="M139" s="48">
        <f>+L3</f>
        <v>87643.8</v>
      </c>
      <c r="N139" s="48">
        <f t="shared" si="38"/>
        <v>-99773.072427990861</v>
      </c>
      <c r="O139" s="50">
        <f t="shared" si="39"/>
        <v>0</v>
      </c>
      <c r="P139" s="35" t="s">
        <v>66</v>
      </c>
      <c r="Q139" s="35" t="s">
        <v>67</v>
      </c>
      <c r="R139" s="35" t="s">
        <v>197</v>
      </c>
      <c r="S139" s="51" t="s">
        <v>331</v>
      </c>
    </row>
    <row r="140" spans="1:19" hidden="1" x14ac:dyDescent="0.2">
      <c r="A140" s="71" t="s">
        <v>363</v>
      </c>
      <c r="B140" s="72"/>
      <c r="C140" s="37"/>
      <c r="D140" s="37"/>
      <c r="E140" s="70">
        <f t="shared" si="36"/>
        <v>0</v>
      </c>
      <c r="F140" s="46">
        <f t="shared" si="37"/>
        <v>1.6666666666666666E-2</v>
      </c>
      <c r="G140" s="47"/>
      <c r="H140" s="48">
        <f t="shared" si="30"/>
        <v>0</v>
      </c>
      <c r="I140" s="49">
        <f>INDICES!L49/INDICES!M46</f>
        <v>1.091411718017173</v>
      </c>
      <c r="J140" s="48">
        <f t="shared" si="31"/>
        <v>0</v>
      </c>
      <c r="K140" s="47"/>
      <c r="L140" s="47">
        <f>+K140-J140</f>
        <v>0</v>
      </c>
      <c r="M140" s="48">
        <f>+L3</f>
        <v>87643.8</v>
      </c>
      <c r="N140" s="48">
        <f t="shared" si="38"/>
        <v>-87643.8</v>
      </c>
      <c r="O140" s="50">
        <f t="shared" si="39"/>
        <v>0</v>
      </c>
      <c r="P140" s="35"/>
      <c r="Q140" s="35"/>
      <c r="R140" s="35"/>
      <c r="S140" s="51"/>
    </row>
    <row r="141" spans="1:19" hidden="1" x14ac:dyDescent="0.2">
      <c r="A141" s="71" t="s">
        <v>364</v>
      </c>
      <c r="B141" s="72"/>
      <c r="C141" s="37"/>
      <c r="D141" s="37"/>
      <c r="E141" s="70">
        <f t="shared" si="36"/>
        <v>0</v>
      </c>
      <c r="F141" s="46">
        <f t="shared" si="37"/>
        <v>1.6666666666666666E-2</v>
      </c>
      <c r="G141" s="47"/>
      <c r="H141" s="48">
        <f>G141-(G141*F141*E141)</f>
        <v>0</v>
      </c>
      <c r="I141" s="49">
        <f>INDICES!L49/INDICES!I46</f>
        <v>1.1141526024546771</v>
      </c>
      <c r="J141" s="48">
        <f>+H141*I141</f>
        <v>0</v>
      </c>
      <c r="K141" s="47"/>
      <c r="L141" s="47">
        <f>+K141-J141</f>
        <v>0</v>
      </c>
      <c r="M141" s="48">
        <f>+L3</f>
        <v>87643.8</v>
      </c>
      <c r="N141" s="48">
        <f t="shared" si="38"/>
        <v>-87643.8</v>
      </c>
      <c r="O141" s="50">
        <f t="shared" si="39"/>
        <v>0</v>
      </c>
      <c r="P141" s="35"/>
      <c r="Q141" s="35"/>
      <c r="R141" s="35"/>
      <c r="S141" s="51"/>
    </row>
    <row r="142" spans="1:19" hidden="1" x14ac:dyDescent="0.2">
      <c r="A142" s="71" t="s">
        <v>365</v>
      </c>
      <c r="B142" s="72"/>
      <c r="C142" s="37"/>
      <c r="D142" s="37"/>
      <c r="E142" s="70">
        <f t="shared" si="36"/>
        <v>0</v>
      </c>
      <c r="F142" s="46">
        <f t="shared" si="37"/>
        <v>1.6666666666666666E-2</v>
      </c>
      <c r="G142" s="47"/>
      <c r="H142" s="48">
        <f>G142-(G142*F142*E142)</f>
        <v>0</v>
      </c>
      <c r="I142" s="49">
        <f>INDICES!L49/INDICES!F45</f>
        <v>1.1609836128487547</v>
      </c>
      <c r="J142" s="48">
        <f>+H142*I142</f>
        <v>0</v>
      </c>
      <c r="K142" s="47"/>
      <c r="L142" s="47">
        <f>+K142-J142</f>
        <v>0</v>
      </c>
      <c r="M142" s="48">
        <f>+L3</f>
        <v>87643.8</v>
      </c>
      <c r="N142" s="48">
        <f t="shared" si="38"/>
        <v>-87643.8</v>
      </c>
      <c r="O142" s="50">
        <f t="shared" si="39"/>
        <v>0</v>
      </c>
      <c r="P142" s="35"/>
      <c r="Q142" s="35"/>
      <c r="R142" s="35"/>
      <c r="S142" s="51"/>
    </row>
    <row r="143" spans="1:19" hidden="1" x14ac:dyDescent="0.2">
      <c r="A143" s="71" t="s">
        <v>366</v>
      </c>
      <c r="B143" s="72"/>
      <c r="C143" s="37"/>
      <c r="D143" s="37"/>
      <c r="E143" s="70">
        <f t="shared" si="36"/>
        <v>0</v>
      </c>
      <c r="F143" s="46">
        <f t="shared" si="37"/>
        <v>1.6666666666666666E-2</v>
      </c>
      <c r="G143" s="47"/>
      <c r="H143" s="48">
        <f>G143-(G143*F143*E143)</f>
        <v>0</v>
      </c>
      <c r="I143" s="49">
        <f>+INDICES!J47/INDICES!L44</f>
        <v>1.1164278403275332</v>
      </c>
      <c r="J143" s="48">
        <f>+H143*I143</f>
        <v>0</v>
      </c>
      <c r="K143" s="47"/>
      <c r="L143" s="47">
        <f>+K143-J143</f>
        <v>0</v>
      </c>
      <c r="M143" s="48">
        <f>+L3</f>
        <v>87643.8</v>
      </c>
      <c r="N143" s="48">
        <f t="shared" si="38"/>
        <v>-87643.8</v>
      </c>
      <c r="O143" s="50">
        <f t="shared" si="39"/>
        <v>0</v>
      </c>
      <c r="P143" s="35"/>
      <c r="Q143" s="35"/>
      <c r="R143" s="35"/>
      <c r="S143" s="51"/>
    </row>
    <row r="144" spans="1:19" hidden="1" x14ac:dyDescent="0.2">
      <c r="A144" s="71" t="s">
        <v>367</v>
      </c>
      <c r="B144" s="72"/>
      <c r="C144" s="37"/>
      <c r="D144" s="37"/>
      <c r="E144" s="70">
        <f t="shared" si="36"/>
        <v>0</v>
      </c>
      <c r="F144" s="46">
        <f t="shared" si="37"/>
        <v>1.6666666666666666E-2</v>
      </c>
      <c r="G144" s="47"/>
      <c r="H144" s="48">
        <f>G144-(G144*F144*E144)</f>
        <v>0</v>
      </c>
      <c r="I144" s="49">
        <f>INDICES!L49/INDICES!L46</f>
        <v>1.1015858276891706</v>
      </c>
      <c r="J144" s="48">
        <f>+H144*I144</f>
        <v>0</v>
      </c>
      <c r="K144" s="73"/>
      <c r="L144" s="47">
        <f>+K144-J144</f>
        <v>0</v>
      </c>
      <c r="M144" s="48">
        <f>+L3</f>
        <v>87643.8</v>
      </c>
      <c r="N144" s="48">
        <f t="shared" si="38"/>
        <v>-87643.8</v>
      </c>
      <c r="O144" s="34"/>
      <c r="P144" s="35"/>
      <c r="Q144" s="35"/>
      <c r="R144" s="35"/>
      <c r="S144" s="51"/>
    </row>
    <row r="145" spans="1:19" hidden="1" x14ac:dyDescent="0.2">
      <c r="A145" s="71" t="s">
        <v>368</v>
      </c>
      <c r="B145" s="72"/>
      <c r="C145" s="37"/>
      <c r="D145" s="37"/>
      <c r="E145" s="70">
        <f t="shared" si="36"/>
        <v>0</v>
      </c>
      <c r="F145" s="46">
        <f t="shared" si="37"/>
        <v>1.6666666666666666E-2</v>
      </c>
      <c r="G145" s="47"/>
      <c r="H145" s="48">
        <f t="shared" ref="H145:H152" si="40">G145-(G145*F145*E145)</f>
        <v>0</v>
      </c>
      <c r="I145" s="49">
        <f>INDICES!L49/INDICES!J46</f>
        <v>1.1109917552654289</v>
      </c>
      <c r="J145" s="48">
        <f t="shared" ref="J145:J152" si="41">+H145*I145</f>
        <v>0</v>
      </c>
      <c r="K145" s="47"/>
      <c r="L145" s="47">
        <f t="shared" ref="L145:L152" si="42">+K145-J145</f>
        <v>0</v>
      </c>
      <c r="M145" s="48">
        <f>+L3</f>
        <v>87643.8</v>
      </c>
      <c r="N145" s="48">
        <f t="shared" ref="N145:N152" si="43">+L145-M145</f>
        <v>-87643.8</v>
      </c>
      <c r="O145" s="50">
        <f t="shared" ref="O145:O206" si="44">IF(N145&gt;1,N145*0.2,0)</f>
        <v>0</v>
      </c>
      <c r="P145" s="35"/>
      <c r="Q145" s="35"/>
      <c r="R145" s="35"/>
      <c r="S145" s="51"/>
    </row>
    <row r="146" spans="1:19" hidden="1" x14ac:dyDescent="0.2">
      <c r="A146" s="71" t="s">
        <v>369</v>
      </c>
      <c r="B146" s="72"/>
      <c r="C146" s="37"/>
      <c r="D146" s="37"/>
      <c r="E146" s="70">
        <f t="shared" si="36"/>
        <v>0</v>
      </c>
      <c r="F146" s="46">
        <f t="shared" si="37"/>
        <v>1.6666666666666666E-2</v>
      </c>
      <c r="G146" s="47"/>
      <c r="H146" s="48">
        <f t="shared" si="40"/>
        <v>0</v>
      </c>
      <c r="I146" s="49">
        <f>INDICES!L49/INDICES!L47</f>
        <v>1.0561932110780403</v>
      </c>
      <c r="J146" s="48">
        <f t="shared" si="41"/>
        <v>0</v>
      </c>
      <c r="K146" s="47"/>
      <c r="L146" s="47">
        <f t="shared" si="42"/>
        <v>0</v>
      </c>
      <c r="M146" s="48">
        <f>+L3</f>
        <v>87643.8</v>
      </c>
      <c r="N146" s="48">
        <f t="shared" si="43"/>
        <v>-87643.8</v>
      </c>
      <c r="O146" s="50">
        <f t="shared" si="44"/>
        <v>0</v>
      </c>
      <c r="P146" s="35"/>
      <c r="Q146" s="35"/>
      <c r="R146" s="35"/>
      <c r="S146" s="51"/>
    </row>
    <row r="147" spans="1:19" hidden="1" x14ac:dyDescent="0.2">
      <c r="A147" s="71" t="s">
        <v>370</v>
      </c>
      <c r="B147" s="72"/>
      <c r="C147" s="37"/>
      <c r="D147" s="37"/>
      <c r="E147" s="70">
        <f t="shared" si="36"/>
        <v>0</v>
      </c>
      <c r="F147" s="46">
        <f t="shared" ref="F147:F206" si="45">0.2/12</f>
        <v>1.6666666666666666E-2</v>
      </c>
      <c r="G147" s="47"/>
      <c r="H147" s="48">
        <f t="shared" si="40"/>
        <v>0</v>
      </c>
      <c r="I147" s="49">
        <f>INDICES!L49/INDICES!L46</f>
        <v>1.1015858276891706</v>
      </c>
      <c r="J147" s="48">
        <f t="shared" si="41"/>
        <v>0</v>
      </c>
      <c r="K147" s="47"/>
      <c r="L147" s="47">
        <f t="shared" si="42"/>
        <v>0</v>
      </c>
      <c r="M147" s="48">
        <f>+L3</f>
        <v>87643.8</v>
      </c>
      <c r="N147" s="48">
        <f t="shared" si="43"/>
        <v>-87643.8</v>
      </c>
      <c r="O147" s="50">
        <f t="shared" si="44"/>
        <v>0</v>
      </c>
      <c r="P147" s="35"/>
      <c r="Q147" s="35"/>
      <c r="R147" s="35"/>
      <c r="S147" s="51"/>
    </row>
    <row r="148" spans="1:19" hidden="1" x14ac:dyDescent="0.2">
      <c r="A148" s="71" t="s">
        <v>371</v>
      </c>
      <c r="B148" s="72"/>
      <c r="C148" s="37"/>
      <c r="D148" s="37"/>
      <c r="E148" s="70">
        <f t="shared" si="36"/>
        <v>0</v>
      </c>
      <c r="F148" s="46">
        <f t="shared" si="45"/>
        <v>1.6666666666666666E-2</v>
      </c>
      <c r="G148" s="47"/>
      <c r="H148" s="48">
        <f t="shared" si="40"/>
        <v>0</v>
      </c>
      <c r="I148" s="49">
        <f>INDICES!L49/INDICES!F47</f>
        <v>1.0719208418963928</v>
      </c>
      <c r="J148" s="48">
        <f t="shared" si="41"/>
        <v>0</v>
      </c>
      <c r="K148" s="47"/>
      <c r="L148" s="47">
        <f t="shared" si="42"/>
        <v>0</v>
      </c>
      <c r="M148" s="48">
        <f>+L3</f>
        <v>87643.8</v>
      </c>
      <c r="N148" s="48">
        <f t="shared" si="43"/>
        <v>-87643.8</v>
      </c>
      <c r="O148" s="50">
        <f t="shared" si="44"/>
        <v>0</v>
      </c>
      <c r="P148" s="35"/>
      <c r="Q148" s="35"/>
      <c r="R148" s="35"/>
      <c r="S148" s="51"/>
    </row>
    <row r="149" spans="1:19" hidden="1" x14ac:dyDescent="0.2">
      <c r="A149" s="71" t="s">
        <v>372</v>
      </c>
      <c r="B149" s="72"/>
      <c r="C149" s="37"/>
      <c r="D149" s="37"/>
      <c r="E149" s="70">
        <f t="shared" si="36"/>
        <v>0</v>
      </c>
      <c r="F149" s="46">
        <f t="shared" si="45"/>
        <v>1.6666666666666666E-2</v>
      </c>
      <c r="G149" s="47"/>
      <c r="H149" s="48">
        <f t="shared" si="40"/>
        <v>0</v>
      </c>
      <c r="I149" s="49">
        <f>INDICES!L49/INDICES!D47</f>
        <v>1.0728522032095045</v>
      </c>
      <c r="J149" s="48">
        <f t="shared" si="41"/>
        <v>0</v>
      </c>
      <c r="K149" s="47"/>
      <c r="L149" s="47">
        <f t="shared" si="42"/>
        <v>0</v>
      </c>
      <c r="M149" s="48">
        <f>+L3</f>
        <v>87643.8</v>
      </c>
      <c r="N149" s="48">
        <f t="shared" si="43"/>
        <v>-87643.8</v>
      </c>
      <c r="O149" s="50">
        <f t="shared" si="44"/>
        <v>0</v>
      </c>
      <c r="P149" s="35"/>
      <c r="Q149" s="35"/>
      <c r="R149" s="35"/>
      <c r="S149" s="51"/>
    </row>
    <row r="150" spans="1:19" hidden="1" x14ac:dyDescent="0.2">
      <c r="A150" s="71" t="s">
        <v>374</v>
      </c>
      <c r="B150" s="72"/>
      <c r="C150" s="37"/>
      <c r="D150" s="37"/>
      <c r="E150" s="70">
        <f t="shared" si="36"/>
        <v>0</v>
      </c>
      <c r="F150" s="46">
        <f t="shared" si="45"/>
        <v>1.6666666666666666E-2</v>
      </c>
      <c r="G150" s="47"/>
      <c r="H150" s="48">
        <f t="shared" si="40"/>
        <v>0</v>
      </c>
      <c r="I150" s="49">
        <f>INDICES!L49/INDICES!K44</f>
        <v>1.1989556808386259</v>
      </c>
      <c r="J150" s="48">
        <f t="shared" si="41"/>
        <v>0</v>
      </c>
      <c r="K150" s="47"/>
      <c r="L150" s="47">
        <f t="shared" si="42"/>
        <v>0</v>
      </c>
      <c r="M150" s="48">
        <f>+L3</f>
        <v>87643.8</v>
      </c>
      <c r="N150" s="48">
        <f t="shared" si="43"/>
        <v>-87643.8</v>
      </c>
      <c r="O150" s="50">
        <f t="shared" si="44"/>
        <v>0</v>
      </c>
      <c r="P150" s="35"/>
      <c r="Q150" s="35"/>
      <c r="R150" s="35"/>
      <c r="S150" s="51"/>
    </row>
    <row r="151" spans="1:19" hidden="1" x14ac:dyDescent="0.2">
      <c r="A151" s="71" t="s">
        <v>373</v>
      </c>
      <c r="B151" s="72"/>
      <c r="C151" s="37"/>
      <c r="D151" s="37"/>
      <c r="E151" s="70">
        <f t="shared" si="36"/>
        <v>0</v>
      </c>
      <c r="F151" s="46">
        <f t="shared" si="45"/>
        <v>1.6666666666666666E-2</v>
      </c>
      <c r="G151" s="47"/>
      <c r="H151" s="48">
        <f t="shared" si="40"/>
        <v>0</v>
      </c>
      <c r="I151" s="49">
        <f>INDICES!L49/INDICES!N44</f>
        <v>1.1685739394114978</v>
      </c>
      <c r="J151" s="48">
        <f t="shared" si="41"/>
        <v>0</v>
      </c>
      <c r="K151" s="47"/>
      <c r="L151" s="47">
        <f t="shared" si="42"/>
        <v>0</v>
      </c>
      <c r="M151" s="48">
        <f>+L3</f>
        <v>87643.8</v>
      </c>
      <c r="N151" s="48">
        <f t="shared" si="43"/>
        <v>-87643.8</v>
      </c>
      <c r="O151" s="50">
        <f t="shared" si="44"/>
        <v>0</v>
      </c>
      <c r="P151" s="35"/>
      <c r="Q151" s="35"/>
      <c r="R151" s="35"/>
      <c r="S151" s="51"/>
    </row>
    <row r="152" spans="1:19" hidden="1" x14ac:dyDescent="0.2">
      <c r="A152" s="71" t="s">
        <v>375</v>
      </c>
      <c r="B152" s="72"/>
      <c r="C152" s="37"/>
      <c r="D152" s="37"/>
      <c r="E152" s="70">
        <f t="shared" si="36"/>
        <v>0</v>
      </c>
      <c r="F152" s="46">
        <f t="shared" si="45"/>
        <v>1.6666666666666666E-2</v>
      </c>
      <c r="G152" s="47"/>
      <c r="H152" s="48">
        <f t="shared" si="40"/>
        <v>0</v>
      </c>
      <c r="I152" s="49">
        <f>INDICES!M49/INDICES!M46</f>
        <v>1.0999440796594271</v>
      </c>
      <c r="J152" s="48">
        <f t="shared" si="41"/>
        <v>0</v>
      </c>
      <c r="K152" s="47"/>
      <c r="L152" s="47">
        <f t="shared" si="42"/>
        <v>0</v>
      </c>
      <c r="M152" s="48">
        <f>+L3</f>
        <v>87643.8</v>
      </c>
      <c r="N152" s="48">
        <f t="shared" si="43"/>
        <v>-87643.8</v>
      </c>
      <c r="O152" s="50">
        <f t="shared" si="44"/>
        <v>0</v>
      </c>
      <c r="P152" s="35"/>
      <c r="Q152" s="35"/>
      <c r="R152" s="35"/>
      <c r="S152" s="51"/>
    </row>
    <row r="153" spans="1:19" hidden="1" x14ac:dyDescent="0.2">
      <c r="A153" s="71" t="s">
        <v>376</v>
      </c>
      <c r="B153" s="72"/>
      <c r="C153" s="37"/>
      <c r="D153" s="37"/>
      <c r="E153" s="70">
        <f t="shared" si="36"/>
        <v>0</v>
      </c>
      <c r="F153" s="46">
        <f t="shared" si="45"/>
        <v>1.6666666666666666E-2</v>
      </c>
      <c r="G153" s="47"/>
      <c r="H153" s="48">
        <f t="shared" ref="H153:H184" si="46">G153-(G153*F153*E153)</f>
        <v>0</v>
      </c>
      <c r="I153" s="49">
        <f>INDICES!M49/INDICES!C46</f>
        <v>1.1325711844573636</v>
      </c>
      <c r="J153" s="48">
        <f t="shared" ref="J153:J184" si="47">+H153*I153</f>
        <v>0</v>
      </c>
      <c r="K153" s="47"/>
      <c r="L153" s="47">
        <f t="shared" ref="L153:L184" si="48">+K153-J153</f>
        <v>0</v>
      </c>
      <c r="M153" s="48">
        <f>+L3</f>
        <v>87643.8</v>
      </c>
      <c r="N153" s="48">
        <f t="shared" ref="N153:N184" si="49">+L153-M153</f>
        <v>-87643.8</v>
      </c>
      <c r="O153" s="50">
        <f t="shared" si="44"/>
        <v>0</v>
      </c>
      <c r="P153" s="35"/>
      <c r="Q153" s="35"/>
      <c r="R153" s="35"/>
      <c r="S153" s="51"/>
    </row>
    <row r="154" spans="1:19" hidden="1" x14ac:dyDescent="0.2">
      <c r="A154" s="71" t="s">
        <v>377</v>
      </c>
      <c r="B154" s="72"/>
      <c r="C154" s="37"/>
      <c r="D154" s="37"/>
      <c r="E154" s="70">
        <f t="shared" si="36"/>
        <v>0</v>
      </c>
      <c r="F154" s="46">
        <f t="shared" si="45"/>
        <v>1.6666666666666666E-2</v>
      </c>
      <c r="G154" s="47"/>
      <c r="H154" s="48">
        <f t="shared" si="46"/>
        <v>0</v>
      </c>
      <c r="I154" s="49">
        <f>INDICES!M49/INDICES!E46</f>
        <v>1.1188143336819509</v>
      </c>
      <c r="J154" s="48">
        <f t="shared" si="47"/>
        <v>0</v>
      </c>
      <c r="K154" s="47"/>
      <c r="L154" s="47">
        <f t="shared" si="48"/>
        <v>0</v>
      </c>
      <c r="M154" s="48">
        <f>+L3</f>
        <v>87643.8</v>
      </c>
      <c r="N154" s="48">
        <f t="shared" si="49"/>
        <v>-87643.8</v>
      </c>
      <c r="O154" s="50">
        <f t="shared" si="44"/>
        <v>0</v>
      </c>
      <c r="P154" s="35"/>
      <c r="Q154" s="35"/>
      <c r="R154" s="35"/>
      <c r="S154" s="51"/>
    </row>
    <row r="155" spans="1:19" hidden="1" x14ac:dyDescent="0.2">
      <c r="A155" s="71" t="s">
        <v>378</v>
      </c>
      <c r="B155" s="72"/>
      <c r="C155" s="37"/>
      <c r="D155" s="37"/>
      <c r="E155" s="70">
        <f t="shared" si="36"/>
        <v>0</v>
      </c>
      <c r="F155" s="46">
        <f t="shared" si="45"/>
        <v>1.6666666666666666E-2</v>
      </c>
      <c r="G155" s="47"/>
      <c r="H155" s="48">
        <f t="shared" si="46"/>
        <v>0</v>
      </c>
      <c r="I155" s="49">
        <f>INDICES!M49/INDICES!L45</f>
        <v>1.1474905436684921</v>
      </c>
      <c r="J155" s="48">
        <f t="shared" si="47"/>
        <v>0</v>
      </c>
      <c r="K155" s="47"/>
      <c r="L155" s="47">
        <f t="shared" si="48"/>
        <v>0</v>
      </c>
      <c r="M155" s="48">
        <f>+L3</f>
        <v>87643.8</v>
      </c>
      <c r="N155" s="48">
        <f t="shared" si="49"/>
        <v>-87643.8</v>
      </c>
      <c r="O155" s="50">
        <f t="shared" si="44"/>
        <v>0</v>
      </c>
      <c r="P155" s="35"/>
      <c r="Q155" s="35"/>
      <c r="R155" s="35"/>
      <c r="S155" s="51"/>
    </row>
    <row r="156" spans="1:19" hidden="1" x14ac:dyDescent="0.2">
      <c r="A156" s="71" t="s">
        <v>379</v>
      </c>
      <c r="B156" s="72"/>
      <c r="C156" s="37"/>
      <c r="D156" s="37"/>
      <c r="E156" s="70">
        <f t="shared" si="36"/>
        <v>0</v>
      </c>
      <c r="F156" s="46">
        <f t="shared" si="45"/>
        <v>1.6666666666666666E-2</v>
      </c>
      <c r="G156" s="47"/>
      <c r="H156" s="48">
        <f t="shared" si="46"/>
        <v>0</v>
      </c>
      <c r="I156" s="49">
        <f>INDICES!M49/INDICES!N46</f>
        <v>1.0936704092979876</v>
      </c>
      <c r="J156" s="48">
        <f t="shared" si="47"/>
        <v>0</v>
      </c>
      <c r="K156" s="47"/>
      <c r="L156" s="47">
        <f t="shared" si="48"/>
        <v>0</v>
      </c>
      <c r="M156" s="48">
        <f>+L3</f>
        <v>87643.8</v>
      </c>
      <c r="N156" s="48">
        <f t="shared" si="49"/>
        <v>-87643.8</v>
      </c>
      <c r="O156" s="50">
        <f t="shared" si="44"/>
        <v>0</v>
      </c>
      <c r="P156" s="35"/>
      <c r="Q156" s="35"/>
      <c r="R156" s="35"/>
      <c r="S156" s="51"/>
    </row>
    <row r="157" spans="1:19" hidden="1" x14ac:dyDescent="0.2">
      <c r="A157" s="71" t="s">
        <v>393</v>
      </c>
      <c r="B157" s="72"/>
      <c r="C157" s="37"/>
      <c r="D157" s="37"/>
      <c r="E157" s="70">
        <f t="shared" si="36"/>
        <v>0</v>
      </c>
      <c r="F157" s="46">
        <f t="shared" si="45"/>
        <v>1.6666666666666666E-2</v>
      </c>
      <c r="G157" s="47"/>
      <c r="H157" s="48">
        <f t="shared" si="46"/>
        <v>0</v>
      </c>
      <c r="I157" s="49">
        <f>INDICES!M49/INDICES!C47</f>
        <v>1.0839784898448959</v>
      </c>
      <c r="J157" s="48">
        <f t="shared" si="47"/>
        <v>0</v>
      </c>
      <c r="K157" s="47"/>
      <c r="L157" s="47"/>
      <c r="M157" s="48">
        <f>+L3</f>
        <v>87643.8</v>
      </c>
      <c r="N157" s="48">
        <f t="shared" si="49"/>
        <v>-87643.8</v>
      </c>
      <c r="O157" s="50"/>
      <c r="P157" s="35"/>
      <c r="Q157" s="35"/>
      <c r="R157" s="35"/>
      <c r="S157" s="51"/>
    </row>
    <row r="158" spans="1:19" hidden="1" x14ac:dyDescent="0.2">
      <c r="A158" s="71" t="s">
        <v>394</v>
      </c>
      <c r="B158" s="72"/>
      <c r="C158" s="37"/>
      <c r="D158" s="37"/>
      <c r="E158" s="70">
        <f t="shared" si="36"/>
        <v>0</v>
      </c>
      <c r="F158" s="46">
        <f t="shared" si="45"/>
        <v>1.6666666666666666E-2</v>
      </c>
      <c r="G158" s="47"/>
      <c r="H158" s="48">
        <f t="shared" si="46"/>
        <v>0</v>
      </c>
      <c r="I158" s="49">
        <f>INDICES!M49/INDICES!J46</f>
        <v>1.1196771883435244</v>
      </c>
      <c r="J158" s="48">
        <f t="shared" si="47"/>
        <v>0</v>
      </c>
      <c r="K158" s="47"/>
      <c r="L158" s="47">
        <f t="shared" si="48"/>
        <v>0</v>
      </c>
      <c r="M158" s="48">
        <f>+L3</f>
        <v>87643.8</v>
      </c>
      <c r="N158" s="48">
        <f t="shared" si="49"/>
        <v>-87643.8</v>
      </c>
      <c r="O158" s="50">
        <f t="shared" si="44"/>
        <v>0</v>
      </c>
      <c r="P158" s="35"/>
      <c r="Q158" s="35"/>
      <c r="R158" s="35"/>
      <c r="S158" s="51"/>
    </row>
    <row r="159" spans="1:19" hidden="1" x14ac:dyDescent="0.2">
      <c r="A159" s="71" t="s">
        <v>395</v>
      </c>
      <c r="B159" s="72"/>
      <c r="C159" s="37"/>
      <c r="D159" s="37"/>
      <c r="E159" s="70">
        <f t="shared" si="36"/>
        <v>0</v>
      </c>
      <c r="F159" s="46">
        <f t="shared" si="45"/>
        <v>1.6666666666666666E-2</v>
      </c>
      <c r="G159" s="47"/>
      <c r="H159" s="48">
        <f t="shared" si="46"/>
        <v>0</v>
      </c>
      <c r="I159" s="49">
        <f>INDICES!M49/INDICES!M45</f>
        <v>1.1397476635514019</v>
      </c>
      <c r="J159" s="48">
        <f t="shared" si="47"/>
        <v>0</v>
      </c>
      <c r="K159" s="47"/>
      <c r="L159" s="47">
        <f t="shared" si="48"/>
        <v>0</v>
      </c>
      <c r="M159" s="48">
        <f>+L3</f>
        <v>87643.8</v>
      </c>
      <c r="N159" s="48">
        <f t="shared" si="49"/>
        <v>-87643.8</v>
      </c>
      <c r="O159" s="50">
        <f t="shared" si="44"/>
        <v>0</v>
      </c>
      <c r="P159" s="35"/>
      <c r="Q159" s="35"/>
      <c r="R159" s="35"/>
      <c r="S159" s="51"/>
    </row>
    <row r="160" spans="1:19" hidden="1" x14ac:dyDescent="0.2">
      <c r="A160" s="71" t="s">
        <v>396</v>
      </c>
      <c r="B160" s="72"/>
      <c r="C160" s="37"/>
      <c r="D160" s="37"/>
      <c r="E160" s="70">
        <f t="shared" si="36"/>
        <v>0</v>
      </c>
      <c r="F160" s="46">
        <f t="shared" si="45"/>
        <v>1.6666666666666666E-2</v>
      </c>
      <c r="G160" s="47"/>
      <c r="H160" s="48">
        <f t="shared" si="46"/>
        <v>0</v>
      </c>
      <c r="I160" s="49">
        <f>INDICES!M49/INDICES!H47</f>
        <v>1.081891733645606</v>
      </c>
      <c r="J160" s="48">
        <f t="shared" si="47"/>
        <v>0</v>
      </c>
      <c r="K160" s="47"/>
      <c r="L160" s="47">
        <f t="shared" si="48"/>
        <v>0</v>
      </c>
      <c r="M160" s="48">
        <f>+L3</f>
        <v>87643.8</v>
      </c>
      <c r="N160" s="48">
        <f t="shared" si="49"/>
        <v>-87643.8</v>
      </c>
      <c r="O160" s="50">
        <f t="shared" si="44"/>
        <v>0</v>
      </c>
      <c r="P160" s="35"/>
      <c r="Q160" s="35"/>
      <c r="R160" s="35"/>
      <c r="S160" s="51"/>
    </row>
    <row r="161" spans="1:19" hidden="1" x14ac:dyDescent="0.2">
      <c r="A161" s="71" t="s">
        <v>397</v>
      </c>
      <c r="B161" s="72"/>
      <c r="C161" s="37"/>
      <c r="D161" s="37"/>
      <c r="E161" s="70">
        <f t="shared" si="36"/>
        <v>0</v>
      </c>
      <c r="F161" s="46">
        <f t="shared" si="45"/>
        <v>1.6666666666666666E-2</v>
      </c>
      <c r="G161" s="47"/>
      <c r="H161" s="48">
        <f t="shared" si="46"/>
        <v>0</v>
      </c>
      <c r="I161" s="49">
        <f>INDICES!M49/INDICES!F48</f>
        <v>1.0482014697666424</v>
      </c>
      <c r="J161" s="48">
        <f t="shared" si="47"/>
        <v>0</v>
      </c>
      <c r="K161" s="47"/>
      <c r="L161" s="47">
        <f t="shared" si="48"/>
        <v>0</v>
      </c>
      <c r="M161" s="48">
        <f>+L3</f>
        <v>87643.8</v>
      </c>
      <c r="N161" s="48">
        <f t="shared" si="49"/>
        <v>-87643.8</v>
      </c>
      <c r="O161" s="50">
        <f t="shared" si="44"/>
        <v>0</v>
      </c>
      <c r="P161" s="35"/>
      <c r="Q161" s="35"/>
      <c r="R161" s="35"/>
      <c r="S161" s="51"/>
    </row>
    <row r="162" spans="1:19" hidden="1" x14ac:dyDescent="0.2">
      <c r="A162" s="71" t="s">
        <v>398</v>
      </c>
      <c r="B162" s="72"/>
      <c r="C162" s="37"/>
      <c r="D162" s="37"/>
      <c r="E162" s="70">
        <f t="shared" si="36"/>
        <v>0</v>
      </c>
      <c r="F162" s="46">
        <f t="shared" si="45"/>
        <v>1.6666666666666666E-2</v>
      </c>
      <c r="G162" s="47"/>
      <c r="H162" s="48">
        <f t="shared" si="46"/>
        <v>0</v>
      </c>
      <c r="I162" s="49">
        <f>INDICES!M49/INDICES!H33</f>
        <v>1.3650130957444429</v>
      </c>
      <c r="J162" s="48">
        <f t="shared" si="47"/>
        <v>0</v>
      </c>
      <c r="K162" s="47"/>
      <c r="L162" s="47">
        <f t="shared" si="48"/>
        <v>0</v>
      </c>
      <c r="M162" s="48">
        <f>+L3</f>
        <v>87643.8</v>
      </c>
      <c r="N162" s="48">
        <f t="shared" si="49"/>
        <v>-87643.8</v>
      </c>
      <c r="O162" s="50">
        <f t="shared" si="44"/>
        <v>0</v>
      </c>
      <c r="P162" s="35"/>
      <c r="Q162" s="35"/>
      <c r="R162" s="35"/>
      <c r="S162" s="51"/>
    </row>
    <row r="163" spans="1:19" hidden="1" x14ac:dyDescent="0.2">
      <c r="A163" s="71" t="s">
        <v>399</v>
      </c>
      <c r="B163" s="72"/>
      <c r="C163" s="37"/>
      <c r="D163" s="37"/>
      <c r="E163" s="70">
        <f t="shared" si="36"/>
        <v>0</v>
      </c>
      <c r="F163" s="46">
        <f t="shared" si="45"/>
        <v>1.6666666666666666E-2</v>
      </c>
      <c r="G163" s="47"/>
      <c r="H163" s="48">
        <f t="shared" si="46"/>
        <v>0</v>
      </c>
      <c r="I163" s="49">
        <f>INDICES!M49/INDICES!C48</f>
        <v>1.0517360332545667</v>
      </c>
      <c r="J163" s="48">
        <f t="shared" si="47"/>
        <v>0</v>
      </c>
      <c r="K163" s="47"/>
      <c r="L163" s="47">
        <f t="shared" si="48"/>
        <v>0</v>
      </c>
      <c r="M163" s="48">
        <f>+L3</f>
        <v>87643.8</v>
      </c>
      <c r="N163" s="48">
        <f t="shared" si="49"/>
        <v>-87643.8</v>
      </c>
      <c r="O163" s="50">
        <f t="shared" si="44"/>
        <v>0</v>
      </c>
      <c r="P163" s="35"/>
      <c r="Q163" s="35"/>
      <c r="R163" s="35"/>
      <c r="S163" s="51"/>
    </row>
    <row r="164" spans="1:19" hidden="1" x14ac:dyDescent="0.2">
      <c r="A164" s="71" t="s">
        <v>400</v>
      </c>
      <c r="B164" s="72"/>
      <c r="C164" s="37"/>
      <c r="D164" s="37"/>
      <c r="E164" s="70">
        <f t="shared" si="36"/>
        <v>0</v>
      </c>
      <c r="F164" s="46">
        <f t="shared" si="45"/>
        <v>1.6666666666666666E-2</v>
      </c>
      <c r="G164" s="47"/>
      <c r="H164" s="48">
        <f t="shared" si="46"/>
        <v>0</v>
      </c>
      <c r="I164" s="49">
        <f>INDICES!M49/INDICES!M46</f>
        <v>1.0999440796594271</v>
      </c>
      <c r="J164" s="48">
        <f t="shared" si="47"/>
        <v>0</v>
      </c>
      <c r="K164" s="47"/>
      <c r="L164" s="47">
        <f t="shared" si="48"/>
        <v>0</v>
      </c>
      <c r="M164" s="48">
        <f>+L3</f>
        <v>87643.8</v>
      </c>
      <c r="N164" s="48">
        <f t="shared" si="49"/>
        <v>-87643.8</v>
      </c>
      <c r="O164" s="50">
        <f t="shared" si="44"/>
        <v>0</v>
      </c>
      <c r="P164" s="35"/>
      <c r="Q164" s="35"/>
      <c r="R164" s="35"/>
      <c r="S164" s="51"/>
    </row>
    <row r="165" spans="1:19" hidden="1" x14ac:dyDescent="0.2">
      <c r="A165" s="71" t="s">
        <v>401</v>
      </c>
      <c r="B165" s="72"/>
      <c r="C165" s="37"/>
      <c r="D165" s="37"/>
      <c r="E165" s="70">
        <f t="shared" si="36"/>
        <v>0</v>
      </c>
      <c r="F165" s="46">
        <f t="shared" si="45"/>
        <v>1.6666666666666666E-2</v>
      </c>
      <c r="G165" s="47"/>
      <c r="H165" s="48">
        <f>G165-(G165*F165*E165)</f>
        <v>0</v>
      </c>
      <c r="I165" s="49">
        <f>INDICES!M49/INDICES!C46</f>
        <v>1.1325711844573636</v>
      </c>
      <c r="J165" s="48">
        <f t="shared" si="47"/>
        <v>0</v>
      </c>
      <c r="K165" s="47"/>
      <c r="L165" s="47">
        <f t="shared" si="48"/>
        <v>0</v>
      </c>
      <c r="M165" s="48">
        <f>+L3</f>
        <v>87643.8</v>
      </c>
      <c r="N165" s="48">
        <f t="shared" si="49"/>
        <v>-87643.8</v>
      </c>
      <c r="O165" s="50">
        <f t="shared" si="44"/>
        <v>0</v>
      </c>
      <c r="P165" s="35"/>
      <c r="Q165" s="35"/>
      <c r="R165" s="35"/>
      <c r="S165" s="51"/>
    </row>
    <row r="166" spans="1:19" hidden="1" x14ac:dyDescent="0.2">
      <c r="A166" s="71" t="s">
        <v>402</v>
      </c>
      <c r="B166" s="72"/>
      <c r="C166" s="37"/>
      <c r="D166" s="37"/>
      <c r="E166" s="70">
        <f t="shared" si="36"/>
        <v>0</v>
      </c>
      <c r="F166" s="46">
        <f t="shared" si="45"/>
        <v>1.6666666666666666E-2</v>
      </c>
      <c r="G166" s="47"/>
      <c r="H166" s="48">
        <f t="shared" si="46"/>
        <v>0</v>
      </c>
      <c r="I166" s="49">
        <f>INDICES!M49/INDICES!F47</f>
        <v>1.0803008291403868</v>
      </c>
      <c r="J166" s="48">
        <f t="shared" si="47"/>
        <v>0</v>
      </c>
      <c r="K166" s="47"/>
      <c r="L166" s="47">
        <f t="shared" si="48"/>
        <v>0</v>
      </c>
      <c r="M166" s="48">
        <f>+L3</f>
        <v>87643.8</v>
      </c>
      <c r="N166" s="48">
        <f t="shared" si="49"/>
        <v>-87643.8</v>
      </c>
      <c r="O166" s="50">
        <f t="shared" si="44"/>
        <v>0</v>
      </c>
      <c r="P166" s="35"/>
      <c r="Q166" s="35"/>
      <c r="R166" s="35"/>
      <c r="S166" s="51"/>
    </row>
    <row r="167" spans="1:19" hidden="1" x14ac:dyDescent="0.2">
      <c r="A167" s="71" t="s">
        <v>403</v>
      </c>
      <c r="B167" s="72"/>
      <c r="C167" s="37"/>
      <c r="D167" s="37"/>
      <c r="E167" s="70">
        <f t="shared" ref="E167:E198" si="50">(D167-C167)/30</f>
        <v>0</v>
      </c>
      <c r="F167" s="46">
        <f t="shared" si="45"/>
        <v>1.6666666666666666E-2</v>
      </c>
      <c r="G167" s="47"/>
      <c r="H167" s="48">
        <f t="shared" si="46"/>
        <v>0</v>
      </c>
      <c r="I167" s="49">
        <f>INDICES!M49/INDICES!D49</f>
        <v>1.0204844985565458</v>
      </c>
      <c r="J167" s="48">
        <f t="shared" si="47"/>
        <v>0</v>
      </c>
      <c r="K167" s="47"/>
      <c r="L167" s="47">
        <f t="shared" si="48"/>
        <v>0</v>
      </c>
      <c r="M167" s="48">
        <f>+L3</f>
        <v>87643.8</v>
      </c>
      <c r="N167" s="48">
        <f t="shared" si="49"/>
        <v>-87643.8</v>
      </c>
      <c r="O167" s="50">
        <f t="shared" si="44"/>
        <v>0</v>
      </c>
      <c r="P167" s="35"/>
      <c r="Q167" s="35"/>
      <c r="R167" s="35"/>
      <c r="S167" s="51"/>
    </row>
    <row r="168" spans="1:19" hidden="1" x14ac:dyDescent="0.2">
      <c r="A168" s="71" t="s">
        <v>404</v>
      </c>
      <c r="B168" s="72"/>
      <c r="C168" s="37"/>
      <c r="D168" s="37"/>
      <c r="E168" s="70">
        <f t="shared" si="50"/>
        <v>0</v>
      </c>
      <c r="F168" s="46">
        <f t="shared" si="45"/>
        <v>1.6666666666666666E-2</v>
      </c>
      <c r="G168" s="47"/>
      <c r="H168" s="48">
        <f t="shared" si="46"/>
        <v>0</v>
      </c>
      <c r="I168" s="49">
        <f>INDICES!M49/INDICES!J48</f>
        <v>1.0479492665824546</v>
      </c>
      <c r="J168" s="48">
        <f t="shared" si="47"/>
        <v>0</v>
      </c>
      <c r="K168" s="47"/>
      <c r="L168" s="47">
        <f t="shared" si="48"/>
        <v>0</v>
      </c>
      <c r="M168" s="48">
        <f>+L3</f>
        <v>87643.8</v>
      </c>
      <c r="N168" s="48">
        <f t="shared" si="49"/>
        <v>-87643.8</v>
      </c>
      <c r="O168" s="50">
        <f t="shared" si="44"/>
        <v>0</v>
      </c>
      <c r="P168" s="35"/>
      <c r="Q168" s="35"/>
      <c r="R168" s="35"/>
      <c r="S168" s="51"/>
    </row>
    <row r="169" spans="1:19" hidden="1" x14ac:dyDescent="0.2">
      <c r="A169" s="71" t="s">
        <v>405</v>
      </c>
      <c r="B169" s="72"/>
      <c r="C169" s="37"/>
      <c r="D169" s="37"/>
      <c r="E169" s="70">
        <f t="shared" si="50"/>
        <v>0</v>
      </c>
      <c r="F169" s="46">
        <f t="shared" si="45"/>
        <v>1.6666666666666666E-2</v>
      </c>
      <c r="G169" s="47"/>
      <c r="H169" s="48">
        <f t="shared" si="46"/>
        <v>0</v>
      </c>
      <c r="I169" s="49">
        <f>INDICES!M49/INDICES!E46</f>
        <v>1.1188143336819509</v>
      </c>
      <c r="J169" s="48">
        <f t="shared" si="47"/>
        <v>0</v>
      </c>
      <c r="K169" s="47"/>
      <c r="L169" s="47">
        <f t="shared" si="48"/>
        <v>0</v>
      </c>
      <c r="M169" s="48">
        <f>+L3</f>
        <v>87643.8</v>
      </c>
      <c r="N169" s="48">
        <f t="shared" si="49"/>
        <v>-87643.8</v>
      </c>
      <c r="O169" s="50">
        <f t="shared" si="44"/>
        <v>0</v>
      </c>
      <c r="P169" s="35"/>
      <c r="Q169" s="35"/>
      <c r="R169" s="35"/>
      <c r="S169" s="51"/>
    </row>
    <row r="170" spans="1:19" hidden="1" x14ac:dyDescent="0.2">
      <c r="A170" s="71" t="s">
        <v>406</v>
      </c>
      <c r="B170" s="72"/>
      <c r="C170" s="37"/>
      <c r="D170" s="37"/>
      <c r="E170" s="70">
        <f t="shared" si="50"/>
        <v>0</v>
      </c>
      <c r="F170" s="46">
        <f t="shared" si="45"/>
        <v>1.6666666666666666E-2</v>
      </c>
      <c r="G170" s="47"/>
      <c r="H170" s="48">
        <f t="shared" si="46"/>
        <v>0</v>
      </c>
      <c r="I170" s="49">
        <f>INDICES!M49/INDICES!K47</f>
        <v>1.0703358814804413</v>
      </c>
      <c r="J170" s="48">
        <f t="shared" si="47"/>
        <v>0</v>
      </c>
      <c r="K170" s="47"/>
      <c r="L170" s="47">
        <f t="shared" si="48"/>
        <v>0</v>
      </c>
      <c r="M170" s="48">
        <f>+L3</f>
        <v>87643.8</v>
      </c>
      <c r="N170" s="48">
        <f t="shared" si="49"/>
        <v>-87643.8</v>
      </c>
      <c r="O170" s="50">
        <f t="shared" si="44"/>
        <v>0</v>
      </c>
      <c r="P170" s="35"/>
      <c r="Q170" s="35"/>
      <c r="R170" s="35"/>
      <c r="S170" s="51"/>
    </row>
    <row r="171" spans="1:19" hidden="1" x14ac:dyDescent="0.2">
      <c r="A171" s="71" t="s">
        <v>407</v>
      </c>
      <c r="B171" s="72"/>
      <c r="C171" s="37"/>
      <c r="D171" s="37"/>
      <c r="E171" s="70">
        <f t="shared" si="50"/>
        <v>0</v>
      </c>
      <c r="F171" s="46">
        <f t="shared" si="45"/>
        <v>1.6666666666666666E-2</v>
      </c>
      <c r="G171" s="47"/>
      <c r="H171" s="48">
        <f t="shared" si="46"/>
        <v>0</v>
      </c>
      <c r="I171" s="49">
        <f>INDICES!M49/INDICES!E48</f>
        <v>1.0454876679211638</v>
      </c>
      <c r="J171" s="48">
        <f t="shared" si="47"/>
        <v>0</v>
      </c>
      <c r="K171" s="47"/>
      <c r="L171" s="47">
        <f t="shared" si="48"/>
        <v>0</v>
      </c>
      <c r="M171" s="48">
        <f>+L3</f>
        <v>87643.8</v>
      </c>
      <c r="N171" s="48">
        <f t="shared" si="49"/>
        <v>-87643.8</v>
      </c>
      <c r="O171" s="50">
        <f t="shared" si="44"/>
        <v>0</v>
      </c>
      <c r="P171" s="35"/>
      <c r="Q171" s="35"/>
      <c r="R171" s="35"/>
      <c r="S171" s="51"/>
    </row>
    <row r="172" spans="1:19" hidden="1" x14ac:dyDescent="0.2">
      <c r="A172" s="71" t="s">
        <v>408</v>
      </c>
      <c r="B172" s="72"/>
      <c r="C172" s="37"/>
      <c r="D172" s="37"/>
      <c r="E172" s="70">
        <f t="shared" si="50"/>
        <v>0</v>
      </c>
      <c r="F172" s="46">
        <f t="shared" si="45"/>
        <v>1.6666666666666666E-2</v>
      </c>
      <c r="G172" s="47"/>
      <c r="H172" s="48">
        <f t="shared" si="46"/>
        <v>0</v>
      </c>
      <c r="I172" s="49">
        <f>INDICES!M49/INDICES!C49</f>
        <v>1.0249873928391326</v>
      </c>
      <c r="J172" s="48">
        <f t="shared" si="47"/>
        <v>0</v>
      </c>
      <c r="K172" s="47"/>
      <c r="L172" s="47">
        <f t="shared" si="48"/>
        <v>0</v>
      </c>
      <c r="M172" s="48">
        <f>+L3</f>
        <v>87643.8</v>
      </c>
      <c r="N172" s="48">
        <f t="shared" si="49"/>
        <v>-87643.8</v>
      </c>
      <c r="O172" s="50">
        <f t="shared" si="44"/>
        <v>0</v>
      </c>
      <c r="P172" s="35"/>
      <c r="Q172" s="35"/>
      <c r="R172" s="35"/>
      <c r="S172" s="51"/>
    </row>
    <row r="173" spans="1:19" hidden="1" x14ac:dyDescent="0.2">
      <c r="A173" s="71" t="s">
        <v>409</v>
      </c>
      <c r="B173" s="72"/>
      <c r="C173" s="37"/>
      <c r="D173" s="37"/>
      <c r="E173" s="70">
        <f t="shared" si="50"/>
        <v>0</v>
      </c>
      <c r="F173" s="46">
        <f t="shared" si="45"/>
        <v>1.6666666666666666E-2</v>
      </c>
      <c r="G173" s="47"/>
      <c r="H173" s="48">
        <f t="shared" si="46"/>
        <v>0</v>
      </c>
      <c r="I173" s="49">
        <f>INDICES!M49/INDICES!N44</f>
        <v>1.1777095344323087</v>
      </c>
      <c r="J173" s="48">
        <f t="shared" si="47"/>
        <v>0</v>
      </c>
      <c r="K173" s="47"/>
      <c r="L173" s="47">
        <f t="shared" si="48"/>
        <v>0</v>
      </c>
      <c r="M173" s="48">
        <f>+L3</f>
        <v>87643.8</v>
      </c>
      <c r="N173" s="48">
        <f t="shared" si="49"/>
        <v>-87643.8</v>
      </c>
      <c r="O173" s="50">
        <f t="shared" si="44"/>
        <v>0</v>
      </c>
      <c r="P173" s="35"/>
      <c r="Q173" s="35"/>
      <c r="R173" s="35"/>
      <c r="S173" s="51"/>
    </row>
    <row r="174" spans="1:19" hidden="1" x14ac:dyDescent="0.2">
      <c r="A174" s="71" t="s">
        <v>410</v>
      </c>
      <c r="B174" s="72"/>
      <c r="C174" s="37"/>
      <c r="D174" s="37"/>
      <c r="E174" s="70">
        <f t="shared" si="50"/>
        <v>0</v>
      </c>
      <c r="F174" s="46">
        <f t="shared" si="45"/>
        <v>1.6666666666666666E-2</v>
      </c>
      <c r="G174" s="47"/>
      <c r="H174" s="48">
        <f t="shared" si="46"/>
        <v>0</v>
      </c>
      <c r="I174" s="49">
        <f>INDICES!M49/INDICES!N45</f>
        <v>1.1371333196576097</v>
      </c>
      <c r="J174" s="48">
        <f t="shared" si="47"/>
        <v>0</v>
      </c>
      <c r="K174" s="47"/>
      <c r="L174" s="47">
        <f t="shared" si="48"/>
        <v>0</v>
      </c>
      <c r="M174" s="48">
        <f>+L3</f>
        <v>87643.8</v>
      </c>
      <c r="N174" s="48">
        <f t="shared" si="49"/>
        <v>-87643.8</v>
      </c>
      <c r="O174" s="50">
        <f t="shared" si="44"/>
        <v>0</v>
      </c>
      <c r="P174" s="35"/>
      <c r="Q174" s="35"/>
      <c r="R174" s="35"/>
      <c r="S174" s="51"/>
    </row>
    <row r="175" spans="1:19" hidden="1" x14ac:dyDescent="0.2">
      <c r="A175" s="71" t="s">
        <v>411</v>
      </c>
      <c r="B175" s="72"/>
      <c r="C175" s="37"/>
      <c r="D175" s="37"/>
      <c r="E175" s="70">
        <f t="shared" si="50"/>
        <v>0</v>
      </c>
      <c r="F175" s="46">
        <f t="shared" si="45"/>
        <v>1.6666666666666666E-2</v>
      </c>
      <c r="G175" s="47"/>
      <c r="H175" s="48">
        <f t="shared" si="46"/>
        <v>0</v>
      </c>
      <c r="I175" s="49">
        <f>INDICES!M49/INDICES!N46</f>
        <v>1.0936704092979876</v>
      </c>
      <c r="J175" s="48">
        <f t="shared" si="47"/>
        <v>0</v>
      </c>
      <c r="K175" s="47"/>
      <c r="L175" s="47">
        <f>+K175-J175</f>
        <v>0</v>
      </c>
      <c r="M175" s="48">
        <f>+L3</f>
        <v>87643.8</v>
      </c>
      <c r="N175" s="48">
        <f t="shared" si="49"/>
        <v>-87643.8</v>
      </c>
      <c r="O175" s="50">
        <f t="shared" si="44"/>
        <v>0</v>
      </c>
      <c r="P175" s="35"/>
      <c r="Q175" s="35"/>
      <c r="R175" s="35"/>
      <c r="S175" s="51"/>
    </row>
    <row r="176" spans="1:19" hidden="1" x14ac:dyDescent="0.2">
      <c r="A176" s="71" t="s">
        <v>412</v>
      </c>
      <c r="B176" s="72"/>
      <c r="C176" s="37"/>
      <c r="D176" s="37"/>
      <c r="E176" s="70">
        <f t="shared" si="50"/>
        <v>0</v>
      </c>
      <c r="F176" s="46">
        <f t="shared" si="45"/>
        <v>1.6666666666666666E-2</v>
      </c>
      <c r="G176" s="47"/>
      <c r="H176" s="48">
        <f t="shared" si="46"/>
        <v>0</v>
      </c>
      <c r="I176" s="49">
        <f>INDICES!M49/INDICES!L46</f>
        <v>1.1101977277692812</v>
      </c>
      <c r="J176" s="48">
        <f t="shared" si="47"/>
        <v>0</v>
      </c>
      <c r="K176" s="47"/>
      <c r="L176" s="47">
        <f t="shared" si="48"/>
        <v>0</v>
      </c>
      <c r="M176" s="48">
        <f>+L3</f>
        <v>87643.8</v>
      </c>
      <c r="N176" s="48">
        <f t="shared" si="49"/>
        <v>-87643.8</v>
      </c>
      <c r="O176" s="50">
        <f t="shared" si="44"/>
        <v>0</v>
      </c>
      <c r="P176" s="35"/>
      <c r="Q176" s="35"/>
      <c r="R176" s="35"/>
      <c r="S176" s="51"/>
    </row>
    <row r="177" spans="1:19" hidden="1" x14ac:dyDescent="0.2">
      <c r="A177" s="71" t="s">
        <v>413</v>
      </c>
      <c r="B177" s="72"/>
      <c r="C177" s="37"/>
      <c r="D177" s="37"/>
      <c r="E177" s="70">
        <f t="shared" si="50"/>
        <v>0</v>
      </c>
      <c r="F177" s="46">
        <f t="shared" si="45"/>
        <v>1.6666666666666666E-2</v>
      </c>
      <c r="G177" s="47"/>
      <c r="H177" s="48">
        <f t="shared" si="46"/>
        <v>0</v>
      </c>
      <c r="I177" s="49">
        <f>INDICES!M49/INDICES!C47</f>
        <v>1.0839784898448959</v>
      </c>
      <c r="J177" s="48">
        <f t="shared" si="47"/>
        <v>0</v>
      </c>
      <c r="K177" s="47"/>
      <c r="L177" s="47">
        <f t="shared" si="48"/>
        <v>0</v>
      </c>
      <c r="M177" s="48">
        <f>+L3</f>
        <v>87643.8</v>
      </c>
      <c r="N177" s="48">
        <f t="shared" si="49"/>
        <v>-87643.8</v>
      </c>
      <c r="O177" s="50">
        <f t="shared" si="44"/>
        <v>0</v>
      </c>
      <c r="P177" s="35"/>
      <c r="Q177" s="35"/>
      <c r="R177" s="35"/>
      <c r="S177" s="51"/>
    </row>
    <row r="178" spans="1:19" hidden="1" x14ac:dyDescent="0.2">
      <c r="A178" s="71" t="s">
        <v>414</v>
      </c>
      <c r="B178" s="72"/>
      <c r="C178" s="37"/>
      <c r="D178" s="37"/>
      <c r="E178" s="70">
        <f t="shared" si="50"/>
        <v>0</v>
      </c>
      <c r="F178" s="46">
        <f t="shared" si="45"/>
        <v>1.6666666666666666E-2</v>
      </c>
      <c r="G178" s="47"/>
      <c r="H178" s="48">
        <f t="shared" si="46"/>
        <v>0</v>
      </c>
      <c r="I178" s="49">
        <f>INDICES!M49/INDICES!K46</f>
        <v>1.1154781940582468</v>
      </c>
      <c r="J178" s="48">
        <f t="shared" si="47"/>
        <v>0</v>
      </c>
      <c r="K178" s="47"/>
      <c r="L178" s="47">
        <f t="shared" si="48"/>
        <v>0</v>
      </c>
      <c r="M178" s="48">
        <f>+L3</f>
        <v>87643.8</v>
      </c>
      <c r="N178" s="48">
        <f t="shared" si="49"/>
        <v>-87643.8</v>
      </c>
      <c r="O178" s="50">
        <f t="shared" si="44"/>
        <v>0</v>
      </c>
      <c r="P178" s="35"/>
      <c r="Q178" s="35"/>
      <c r="R178" s="35"/>
      <c r="S178" s="51"/>
    </row>
    <row r="179" spans="1:19" hidden="1" x14ac:dyDescent="0.2">
      <c r="A179" s="71" t="s">
        <v>415</v>
      </c>
      <c r="B179" s="72"/>
      <c r="C179" s="37"/>
      <c r="D179" s="37"/>
      <c r="E179" s="70">
        <f t="shared" si="50"/>
        <v>0</v>
      </c>
      <c r="F179" s="46">
        <f t="shared" si="45"/>
        <v>1.6666666666666666E-2</v>
      </c>
      <c r="G179" s="47"/>
      <c r="H179" s="48">
        <f t="shared" si="46"/>
        <v>0</v>
      </c>
      <c r="I179" s="49">
        <f>INDICES!M49/INDICES!M49</f>
        <v>1</v>
      </c>
      <c r="J179" s="48">
        <f t="shared" si="47"/>
        <v>0</v>
      </c>
      <c r="K179" s="47"/>
      <c r="L179" s="47">
        <f t="shared" si="48"/>
        <v>0</v>
      </c>
      <c r="M179" s="48">
        <f>+L3</f>
        <v>87643.8</v>
      </c>
      <c r="N179" s="48">
        <f t="shared" si="49"/>
        <v>-87643.8</v>
      </c>
      <c r="O179" s="50">
        <f t="shared" si="44"/>
        <v>0</v>
      </c>
      <c r="P179" s="35"/>
      <c r="Q179" s="35"/>
      <c r="R179" s="35"/>
      <c r="S179" s="51"/>
    </row>
    <row r="180" spans="1:19" hidden="1" x14ac:dyDescent="0.2">
      <c r="A180" s="71" t="s">
        <v>416</v>
      </c>
      <c r="B180" s="72"/>
      <c r="C180" s="37"/>
      <c r="D180" s="37"/>
      <c r="E180" s="70">
        <f t="shared" si="50"/>
        <v>0</v>
      </c>
      <c r="F180" s="46">
        <f t="shared" si="45"/>
        <v>1.6666666666666666E-2</v>
      </c>
      <c r="G180" s="47"/>
      <c r="H180" s="48">
        <f t="shared" si="46"/>
        <v>0</v>
      </c>
      <c r="I180" s="49">
        <f>INDICES!M49/INDICES!L47</f>
        <v>1.0644502439577896</v>
      </c>
      <c r="J180" s="48">
        <f t="shared" si="47"/>
        <v>0</v>
      </c>
      <c r="K180" s="47"/>
      <c r="L180" s="47">
        <f t="shared" si="48"/>
        <v>0</v>
      </c>
      <c r="M180" s="48">
        <f>+L3</f>
        <v>87643.8</v>
      </c>
      <c r="N180" s="48">
        <f t="shared" si="49"/>
        <v>-87643.8</v>
      </c>
      <c r="O180" s="50">
        <f t="shared" si="44"/>
        <v>0</v>
      </c>
      <c r="P180" s="35"/>
      <c r="Q180" s="35"/>
      <c r="R180" s="35"/>
      <c r="S180" s="51"/>
    </row>
    <row r="181" spans="1:19" hidden="1" x14ac:dyDescent="0.2">
      <c r="A181" s="71" t="s">
        <v>417</v>
      </c>
      <c r="B181" s="72"/>
      <c r="C181" s="37"/>
      <c r="D181" s="37"/>
      <c r="E181" s="70">
        <f t="shared" si="50"/>
        <v>0</v>
      </c>
      <c r="F181" s="46">
        <f t="shared" si="45"/>
        <v>1.6666666666666666E-2</v>
      </c>
      <c r="G181" s="47"/>
      <c r="H181" s="48">
        <f t="shared" si="46"/>
        <v>0</v>
      </c>
      <c r="I181" s="49">
        <f>INDICES!M49/INDICES!J44</f>
        <v>1.2112932061978545</v>
      </c>
      <c r="J181" s="48">
        <f t="shared" si="47"/>
        <v>0</v>
      </c>
      <c r="K181" s="47"/>
      <c r="L181" s="47">
        <f t="shared" si="48"/>
        <v>0</v>
      </c>
      <c r="M181" s="48">
        <f>+L3</f>
        <v>87643.8</v>
      </c>
      <c r="N181" s="48">
        <f t="shared" si="49"/>
        <v>-87643.8</v>
      </c>
      <c r="O181" s="50">
        <f t="shared" si="44"/>
        <v>0</v>
      </c>
      <c r="P181" s="35"/>
      <c r="Q181" s="35"/>
      <c r="R181" s="35"/>
      <c r="S181" s="51"/>
    </row>
    <row r="182" spans="1:19" hidden="1" x14ac:dyDescent="0.2">
      <c r="A182" s="71" t="s">
        <v>418</v>
      </c>
      <c r="B182" s="72"/>
      <c r="C182" s="37"/>
      <c r="D182" s="37"/>
      <c r="E182" s="70">
        <f t="shared" si="50"/>
        <v>0</v>
      </c>
      <c r="F182" s="46">
        <f t="shared" si="45"/>
        <v>1.6666666666666666E-2</v>
      </c>
      <c r="G182" s="47"/>
      <c r="H182" s="48">
        <f t="shared" si="46"/>
        <v>0</v>
      </c>
      <c r="I182" s="49">
        <f>INDICES!M49/INDICES!I46</f>
        <v>1.1228627461812557</v>
      </c>
      <c r="J182" s="48">
        <f t="shared" si="47"/>
        <v>0</v>
      </c>
      <c r="K182" s="47"/>
      <c r="L182" s="47">
        <f t="shared" si="48"/>
        <v>0</v>
      </c>
      <c r="M182" s="48">
        <f>+L3</f>
        <v>87643.8</v>
      </c>
      <c r="N182" s="48">
        <f t="shared" si="49"/>
        <v>-87643.8</v>
      </c>
      <c r="O182" s="50">
        <f t="shared" si="44"/>
        <v>0</v>
      </c>
      <c r="P182" s="35"/>
      <c r="Q182" s="35"/>
      <c r="R182" s="35"/>
      <c r="S182" s="51"/>
    </row>
    <row r="183" spans="1:19" hidden="1" x14ac:dyDescent="0.2">
      <c r="A183" s="71" t="s">
        <v>419</v>
      </c>
      <c r="B183" s="72"/>
      <c r="C183" s="37"/>
      <c r="D183" s="37"/>
      <c r="E183" s="70">
        <f t="shared" si="50"/>
        <v>0</v>
      </c>
      <c r="F183" s="46">
        <f t="shared" si="45"/>
        <v>1.6666666666666666E-2</v>
      </c>
      <c r="G183" s="47"/>
      <c r="H183" s="48">
        <f t="shared" si="46"/>
        <v>0</v>
      </c>
      <c r="I183" s="49">
        <f>INDICES!M49/INDICES!N48</f>
        <v>1.0288614045152364</v>
      </c>
      <c r="J183" s="48">
        <f t="shared" si="47"/>
        <v>0</v>
      </c>
      <c r="K183" s="47"/>
      <c r="L183" s="47">
        <f t="shared" si="48"/>
        <v>0</v>
      </c>
      <c r="M183" s="48">
        <f>+L3</f>
        <v>87643.8</v>
      </c>
      <c r="N183" s="48">
        <f t="shared" si="49"/>
        <v>-87643.8</v>
      </c>
      <c r="O183" s="50">
        <f t="shared" si="44"/>
        <v>0</v>
      </c>
      <c r="P183" s="35"/>
      <c r="Q183" s="35"/>
      <c r="R183" s="35"/>
      <c r="S183" s="51"/>
    </row>
    <row r="184" spans="1:19" hidden="1" x14ac:dyDescent="0.2">
      <c r="A184" s="71" t="s">
        <v>420</v>
      </c>
      <c r="B184" s="72"/>
      <c r="C184" s="37"/>
      <c r="D184" s="37"/>
      <c r="E184" s="70">
        <f t="shared" si="50"/>
        <v>0</v>
      </c>
      <c r="F184" s="46">
        <f t="shared" si="45"/>
        <v>1.6666666666666666E-2</v>
      </c>
      <c r="G184" s="47"/>
      <c r="H184" s="48">
        <f t="shared" si="46"/>
        <v>0</v>
      </c>
      <c r="I184" s="49">
        <f>INDICES!M49/INDICES!D47</f>
        <v>1.0812394715843603</v>
      </c>
      <c r="J184" s="48">
        <f t="shared" si="47"/>
        <v>0</v>
      </c>
      <c r="K184" s="47"/>
      <c r="L184" s="47">
        <f t="shared" si="48"/>
        <v>0</v>
      </c>
      <c r="M184" s="48">
        <f>+L3</f>
        <v>87643.8</v>
      </c>
      <c r="N184" s="48">
        <f t="shared" si="49"/>
        <v>-87643.8</v>
      </c>
      <c r="O184" s="50">
        <f t="shared" si="44"/>
        <v>0</v>
      </c>
      <c r="P184" s="35"/>
      <c r="Q184" s="35"/>
      <c r="R184" s="35"/>
      <c r="S184" s="51"/>
    </row>
    <row r="185" spans="1:19" hidden="1" x14ac:dyDescent="0.2">
      <c r="A185" s="71" t="s">
        <v>421</v>
      </c>
      <c r="B185" s="72"/>
      <c r="C185" s="37"/>
      <c r="D185" s="37"/>
      <c r="E185" s="70">
        <f t="shared" si="50"/>
        <v>0</v>
      </c>
      <c r="F185" s="46">
        <f t="shared" si="45"/>
        <v>1.6666666666666666E-2</v>
      </c>
      <c r="G185" s="47"/>
      <c r="H185" s="48">
        <f t="shared" ref="H185:H206" si="51">G185-(G185*F185*E185)</f>
        <v>0</v>
      </c>
      <c r="I185" s="49">
        <f>INDICES!M49/INDICES!N44</f>
        <v>1.1777095344323087</v>
      </c>
      <c r="J185" s="48">
        <f t="shared" ref="J185:J206" si="52">+H185*I185</f>
        <v>0</v>
      </c>
      <c r="K185" s="47"/>
      <c r="L185" s="47">
        <f t="shared" ref="L185:L206" si="53">+K185-J185</f>
        <v>0</v>
      </c>
      <c r="M185" s="48">
        <f>+L3</f>
        <v>87643.8</v>
      </c>
      <c r="N185" s="48">
        <f t="shared" ref="N185:N206" si="54">+L185-M185</f>
        <v>-87643.8</v>
      </c>
      <c r="O185" s="50">
        <f t="shared" si="44"/>
        <v>0</v>
      </c>
      <c r="P185" s="35"/>
      <c r="Q185" s="35"/>
      <c r="R185" s="35"/>
      <c r="S185" s="51"/>
    </row>
    <row r="186" spans="1:19" hidden="1" x14ac:dyDescent="0.2">
      <c r="A186" s="71" t="s">
        <v>422</v>
      </c>
      <c r="B186" s="72"/>
      <c r="C186" s="37"/>
      <c r="D186" s="37"/>
      <c r="E186" s="70">
        <f t="shared" si="50"/>
        <v>0</v>
      </c>
      <c r="F186" s="46">
        <f t="shared" si="45"/>
        <v>1.6666666666666666E-2</v>
      </c>
      <c r="G186" s="47"/>
      <c r="H186" s="48">
        <f t="shared" si="51"/>
        <v>0</v>
      </c>
      <c r="I186" s="49">
        <f>INDICES!M49/INDICES!K47</f>
        <v>1.0703358814804413</v>
      </c>
      <c r="J186" s="48">
        <f t="shared" si="52"/>
        <v>0</v>
      </c>
      <c r="K186" s="47"/>
      <c r="L186" s="47">
        <f t="shared" si="53"/>
        <v>0</v>
      </c>
      <c r="M186" s="48">
        <f>+L3</f>
        <v>87643.8</v>
      </c>
      <c r="N186" s="48">
        <f t="shared" si="54"/>
        <v>-87643.8</v>
      </c>
      <c r="O186" s="50">
        <f t="shared" si="44"/>
        <v>0</v>
      </c>
      <c r="P186" s="35"/>
      <c r="Q186" s="35"/>
      <c r="R186" s="35"/>
      <c r="S186" s="51"/>
    </row>
    <row r="187" spans="1:19" hidden="1" x14ac:dyDescent="0.2">
      <c r="A187" s="71" t="s">
        <v>423</v>
      </c>
      <c r="B187" s="72"/>
      <c r="C187" s="37"/>
      <c r="D187" s="37"/>
      <c r="E187" s="70">
        <f t="shared" si="50"/>
        <v>0</v>
      </c>
      <c r="F187" s="46">
        <f t="shared" si="45"/>
        <v>1.6666666666666666E-2</v>
      </c>
      <c r="G187" s="47"/>
      <c r="H187" s="48">
        <f t="shared" si="51"/>
        <v>0</v>
      </c>
      <c r="I187" s="49">
        <f>INDICES!M49/INDICES!H47</f>
        <v>1.081891733645606</v>
      </c>
      <c r="J187" s="48">
        <f t="shared" si="52"/>
        <v>0</v>
      </c>
      <c r="K187" s="47"/>
      <c r="L187" s="47">
        <f t="shared" si="53"/>
        <v>0</v>
      </c>
      <c r="M187" s="48">
        <f>+L3</f>
        <v>87643.8</v>
      </c>
      <c r="N187" s="48">
        <f t="shared" si="54"/>
        <v>-87643.8</v>
      </c>
      <c r="O187" s="50">
        <f t="shared" si="44"/>
        <v>0</v>
      </c>
      <c r="P187" s="35"/>
      <c r="Q187" s="35"/>
      <c r="R187" s="35"/>
      <c r="S187" s="51"/>
    </row>
    <row r="188" spans="1:19" hidden="1" x14ac:dyDescent="0.2">
      <c r="A188" s="71" t="s">
        <v>424</v>
      </c>
      <c r="B188" s="72"/>
      <c r="C188" s="37"/>
      <c r="D188" s="37"/>
      <c r="E188" s="70">
        <f t="shared" si="50"/>
        <v>0</v>
      </c>
      <c r="F188" s="46">
        <f t="shared" si="45"/>
        <v>1.6666666666666666E-2</v>
      </c>
      <c r="G188" s="47"/>
      <c r="H188" s="48">
        <f t="shared" si="51"/>
        <v>0</v>
      </c>
      <c r="I188" s="49">
        <f>INDICES!M49/INDICES!D46</f>
        <v>1.1270238799349401</v>
      </c>
      <c r="J188" s="48">
        <f t="shared" si="52"/>
        <v>0</v>
      </c>
      <c r="K188" s="47"/>
      <c r="L188" s="47">
        <f t="shared" si="53"/>
        <v>0</v>
      </c>
      <c r="M188" s="48">
        <f>+L3</f>
        <v>87643.8</v>
      </c>
      <c r="N188" s="48">
        <f t="shared" si="54"/>
        <v>-87643.8</v>
      </c>
      <c r="O188" s="50">
        <f t="shared" si="44"/>
        <v>0</v>
      </c>
      <c r="P188" s="35"/>
      <c r="Q188" s="35"/>
      <c r="R188" s="35"/>
      <c r="S188" s="51"/>
    </row>
    <row r="189" spans="1:19" hidden="1" x14ac:dyDescent="0.2">
      <c r="A189" s="71" t="s">
        <v>425</v>
      </c>
      <c r="B189" s="72"/>
      <c r="C189" s="37"/>
      <c r="D189" s="37"/>
      <c r="E189" s="70">
        <f t="shared" si="50"/>
        <v>0</v>
      </c>
      <c r="F189" s="46">
        <f t="shared" si="45"/>
        <v>1.6666666666666666E-2</v>
      </c>
      <c r="G189" s="47"/>
      <c r="H189" s="48">
        <f t="shared" si="51"/>
        <v>0</v>
      </c>
      <c r="I189" s="49">
        <f>INDICES!M49/INDICES!N47</f>
        <v>1.0507845147726589</v>
      </c>
      <c r="J189" s="48">
        <f t="shared" si="52"/>
        <v>0</v>
      </c>
      <c r="K189" s="47"/>
      <c r="L189" s="47">
        <f t="shared" si="53"/>
        <v>0</v>
      </c>
      <c r="M189" s="48">
        <f>+L3</f>
        <v>87643.8</v>
      </c>
      <c r="N189" s="48">
        <f t="shared" si="54"/>
        <v>-87643.8</v>
      </c>
      <c r="O189" s="50">
        <f t="shared" si="44"/>
        <v>0</v>
      </c>
      <c r="P189" s="35"/>
      <c r="Q189" s="35"/>
      <c r="R189" s="35"/>
      <c r="S189" s="51"/>
    </row>
    <row r="190" spans="1:19" hidden="1" x14ac:dyDescent="0.2">
      <c r="A190" s="74" t="s">
        <v>426</v>
      </c>
      <c r="B190" s="72"/>
      <c r="C190" s="37"/>
      <c r="D190" s="37"/>
      <c r="E190" s="70">
        <f t="shared" si="50"/>
        <v>0</v>
      </c>
      <c r="F190" s="46">
        <f t="shared" si="45"/>
        <v>1.6666666666666666E-2</v>
      </c>
      <c r="G190" s="47"/>
      <c r="H190" s="48">
        <f t="shared" si="51"/>
        <v>0</v>
      </c>
      <c r="I190" s="49">
        <f>INDICES!M49/INDICES!H46</f>
        <v>1.1224906806571864</v>
      </c>
      <c r="J190" s="48">
        <f t="shared" si="52"/>
        <v>0</v>
      </c>
      <c r="K190" s="47"/>
      <c r="L190" s="47">
        <f t="shared" si="53"/>
        <v>0</v>
      </c>
      <c r="M190" s="48">
        <f>+L3</f>
        <v>87643.8</v>
      </c>
      <c r="N190" s="48">
        <f t="shared" si="54"/>
        <v>-87643.8</v>
      </c>
      <c r="O190" s="50">
        <f t="shared" si="44"/>
        <v>0</v>
      </c>
      <c r="P190" s="35"/>
      <c r="Q190" s="35"/>
      <c r="R190" s="35"/>
      <c r="S190" s="51"/>
    </row>
    <row r="191" spans="1:19" hidden="1" x14ac:dyDescent="0.2">
      <c r="A191" s="71" t="s">
        <v>427</v>
      </c>
      <c r="B191" s="75"/>
      <c r="C191" s="37"/>
      <c r="D191" s="37"/>
      <c r="E191" s="70">
        <f t="shared" si="50"/>
        <v>0</v>
      </c>
      <c r="F191" s="46">
        <f t="shared" si="45"/>
        <v>1.6666666666666666E-2</v>
      </c>
      <c r="G191" s="47"/>
      <c r="H191" s="48">
        <f t="shared" si="51"/>
        <v>0</v>
      </c>
      <c r="I191" s="49">
        <f>INDICES!M49/INDICES!D47</f>
        <v>1.0812394715843603</v>
      </c>
      <c r="J191" s="48">
        <f t="shared" si="52"/>
        <v>0</v>
      </c>
      <c r="K191" s="47"/>
      <c r="L191" s="47">
        <f t="shared" si="53"/>
        <v>0</v>
      </c>
      <c r="M191" s="48">
        <f>+L3</f>
        <v>87643.8</v>
      </c>
      <c r="N191" s="48">
        <f t="shared" si="54"/>
        <v>-87643.8</v>
      </c>
      <c r="O191" s="50">
        <f t="shared" si="44"/>
        <v>0</v>
      </c>
      <c r="P191" s="35"/>
      <c r="Q191" s="35"/>
      <c r="R191" s="35"/>
      <c r="S191" s="51"/>
    </row>
    <row r="192" spans="1:19" hidden="1" x14ac:dyDescent="0.2">
      <c r="A192" s="71" t="s">
        <v>428</v>
      </c>
      <c r="B192" s="72"/>
      <c r="C192" s="37"/>
      <c r="D192" s="37"/>
      <c r="E192" s="70">
        <f t="shared" si="50"/>
        <v>0</v>
      </c>
      <c r="F192" s="46">
        <f t="shared" si="45"/>
        <v>1.6666666666666666E-2</v>
      </c>
      <c r="G192" s="47"/>
      <c r="H192" s="48">
        <f t="shared" si="51"/>
        <v>0</v>
      </c>
      <c r="I192" s="49">
        <f>INDICES!M49/INDICES!E49</f>
        <v>1.0189837985979395</v>
      </c>
      <c r="J192" s="48">
        <f t="shared" si="52"/>
        <v>0</v>
      </c>
      <c r="K192" s="47"/>
      <c r="L192" s="47">
        <f t="shared" si="53"/>
        <v>0</v>
      </c>
      <c r="M192" s="48">
        <f>+L3</f>
        <v>87643.8</v>
      </c>
      <c r="N192" s="48">
        <f t="shared" si="54"/>
        <v>-87643.8</v>
      </c>
      <c r="O192" s="50">
        <f t="shared" si="44"/>
        <v>0</v>
      </c>
      <c r="P192" s="35"/>
      <c r="Q192" s="35"/>
      <c r="R192" s="35"/>
      <c r="S192" s="51"/>
    </row>
    <row r="193" spans="1:19" hidden="1" x14ac:dyDescent="0.2">
      <c r="A193" s="71" t="s">
        <v>429</v>
      </c>
      <c r="B193" s="72"/>
      <c r="C193" s="37"/>
      <c r="D193" s="37"/>
      <c r="E193" s="70">
        <f t="shared" si="50"/>
        <v>0</v>
      </c>
      <c r="F193" s="46">
        <f t="shared" si="45"/>
        <v>1.6666666666666666E-2</v>
      </c>
      <c r="G193" s="47"/>
      <c r="H193" s="48">
        <f t="shared" si="51"/>
        <v>0</v>
      </c>
      <c r="I193" s="49">
        <f>INDICES!M49/INDICES!L47</f>
        <v>1.0644502439577896</v>
      </c>
      <c r="J193" s="48">
        <f t="shared" si="52"/>
        <v>0</v>
      </c>
      <c r="K193" s="47"/>
      <c r="L193" s="47">
        <f t="shared" si="53"/>
        <v>0</v>
      </c>
      <c r="M193" s="48">
        <f>+L3</f>
        <v>87643.8</v>
      </c>
      <c r="N193" s="48">
        <f t="shared" si="54"/>
        <v>-87643.8</v>
      </c>
      <c r="O193" s="50">
        <f t="shared" si="44"/>
        <v>0</v>
      </c>
      <c r="P193" s="35"/>
      <c r="Q193" s="35"/>
      <c r="R193" s="35"/>
      <c r="S193" s="51"/>
    </row>
    <row r="194" spans="1:19" hidden="1" x14ac:dyDescent="0.2">
      <c r="A194" s="71" t="s">
        <v>430</v>
      </c>
      <c r="B194" s="72"/>
      <c r="C194" s="37"/>
      <c r="D194" s="37"/>
      <c r="E194" s="70">
        <f t="shared" si="50"/>
        <v>0</v>
      </c>
      <c r="F194" s="46">
        <f t="shared" si="45"/>
        <v>1.6666666666666666E-2</v>
      </c>
      <c r="G194" s="47"/>
      <c r="H194" s="48">
        <f t="shared" si="51"/>
        <v>0</v>
      </c>
      <c r="I194" s="49">
        <f>+INDICES!L47/INDICES!G45</f>
        <v>1.10269588735214</v>
      </c>
      <c r="J194" s="48">
        <f t="shared" si="52"/>
        <v>0</v>
      </c>
      <c r="K194" s="47"/>
      <c r="L194" s="47">
        <f t="shared" si="53"/>
        <v>0</v>
      </c>
      <c r="M194" s="48">
        <f>+L3</f>
        <v>87643.8</v>
      </c>
      <c r="N194" s="48">
        <f t="shared" si="54"/>
        <v>-87643.8</v>
      </c>
      <c r="O194" s="50">
        <f t="shared" si="44"/>
        <v>0</v>
      </c>
      <c r="P194" s="35"/>
      <c r="Q194" s="35"/>
      <c r="R194" s="35"/>
      <c r="S194" s="51"/>
    </row>
    <row r="195" spans="1:19" hidden="1" x14ac:dyDescent="0.2">
      <c r="A195" s="71" t="s">
        <v>431</v>
      </c>
      <c r="B195" s="72"/>
      <c r="C195" s="37"/>
      <c r="D195" s="37"/>
      <c r="E195" s="70">
        <f t="shared" si="50"/>
        <v>0</v>
      </c>
      <c r="F195" s="46">
        <f t="shared" si="45"/>
        <v>1.6666666666666666E-2</v>
      </c>
      <c r="G195" s="47"/>
      <c r="H195" s="48">
        <f t="shared" si="51"/>
        <v>0</v>
      </c>
      <c r="I195" s="49">
        <f>+INDICES!L47/INDICES!J46</f>
        <v>1.0518830679961071</v>
      </c>
      <c r="J195" s="48">
        <f t="shared" si="52"/>
        <v>0</v>
      </c>
      <c r="K195" s="47"/>
      <c r="L195" s="47">
        <f t="shared" si="53"/>
        <v>0</v>
      </c>
      <c r="M195" s="48">
        <f>+L3</f>
        <v>87643.8</v>
      </c>
      <c r="N195" s="48">
        <f t="shared" si="54"/>
        <v>-87643.8</v>
      </c>
      <c r="O195" s="50">
        <f t="shared" si="44"/>
        <v>0</v>
      </c>
      <c r="P195" s="35"/>
      <c r="Q195" s="35"/>
      <c r="R195" s="35"/>
      <c r="S195" s="51"/>
    </row>
    <row r="196" spans="1:19" hidden="1" x14ac:dyDescent="0.2">
      <c r="A196" s="71" t="s">
        <v>432</v>
      </c>
      <c r="B196" s="72"/>
      <c r="C196" s="37"/>
      <c r="D196" s="37"/>
      <c r="E196" s="70">
        <f t="shared" si="50"/>
        <v>0</v>
      </c>
      <c r="F196" s="46">
        <f t="shared" si="45"/>
        <v>1.6666666666666666E-2</v>
      </c>
      <c r="G196" s="47"/>
      <c r="H196" s="48">
        <f t="shared" si="51"/>
        <v>0</v>
      </c>
      <c r="I196" s="49">
        <f>+INDICES!L47/INDICES!F41</f>
        <v>1.3007323685487973</v>
      </c>
      <c r="J196" s="48">
        <f t="shared" si="52"/>
        <v>0</v>
      </c>
      <c r="K196" s="47"/>
      <c r="L196" s="47">
        <f t="shared" si="53"/>
        <v>0</v>
      </c>
      <c r="M196" s="48">
        <f>+L3</f>
        <v>87643.8</v>
      </c>
      <c r="N196" s="48">
        <f t="shared" si="54"/>
        <v>-87643.8</v>
      </c>
      <c r="O196" s="50">
        <f t="shared" si="44"/>
        <v>0</v>
      </c>
      <c r="P196" s="35"/>
      <c r="Q196" s="35"/>
      <c r="R196" s="35"/>
      <c r="S196" s="51"/>
    </row>
    <row r="197" spans="1:19" hidden="1" x14ac:dyDescent="0.2">
      <c r="A197" s="71" t="s">
        <v>433</v>
      </c>
      <c r="B197" s="72"/>
      <c r="C197" s="37"/>
      <c r="D197" s="37"/>
      <c r="E197" s="70">
        <f t="shared" si="50"/>
        <v>0</v>
      </c>
      <c r="F197" s="46">
        <f t="shared" si="45"/>
        <v>1.6666666666666666E-2</v>
      </c>
      <c r="G197" s="47"/>
      <c r="H197" s="48">
        <f t="shared" si="51"/>
        <v>0</v>
      </c>
      <c r="I197" s="49">
        <f>+INDICES!L47/INDICES!N45</f>
        <v>1.0682822669376948</v>
      </c>
      <c r="J197" s="48">
        <f t="shared" si="52"/>
        <v>0</v>
      </c>
      <c r="K197" s="47"/>
      <c r="L197" s="47">
        <f t="shared" si="53"/>
        <v>0</v>
      </c>
      <c r="M197" s="48">
        <f>+L3</f>
        <v>87643.8</v>
      </c>
      <c r="N197" s="48">
        <f t="shared" si="54"/>
        <v>-87643.8</v>
      </c>
      <c r="O197" s="50">
        <f t="shared" si="44"/>
        <v>0</v>
      </c>
      <c r="P197" s="35"/>
      <c r="Q197" s="35"/>
      <c r="R197" s="35"/>
      <c r="S197" s="51"/>
    </row>
    <row r="198" spans="1:19" hidden="1" x14ac:dyDescent="0.2">
      <c r="A198" s="71" t="s">
        <v>434</v>
      </c>
      <c r="B198" s="72"/>
      <c r="C198" s="37"/>
      <c r="D198" s="37"/>
      <c r="E198" s="76">
        <f t="shared" si="50"/>
        <v>0</v>
      </c>
      <c r="F198" s="46">
        <f t="shared" si="45"/>
        <v>1.6666666666666666E-2</v>
      </c>
      <c r="G198" s="47"/>
      <c r="H198" s="48">
        <f t="shared" si="51"/>
        <v>0</v>
      </c>
      <c r="I198" s="49">
        <f>+INDICES!L47/INDICES!N45</f>
        <v>1.0682822669376948</v>
      </c>
      <c r="J198" s="48">
        <f t="shared" si="52"/>
        <v>0</v>
      </c>
      <c r="K198" s="47"/>
      <c r="L198" s="47">
        <f t="shared" si="53"/>
        <v>0</v>
      </c>
      <c r="M198" s="48">
        <f>+L3</f>
        <v>87643.8</v>
      </c>
      <c r="N198" s="48">
        <f t="shared" si="54"/>
        <v>-87643.8</v>
      </c>
      <c r="O198" s="50">
        <f t="shared" si="44"/>
        <v>0</v>
      </c>
      <c r="P198" s="35"/>
      <c r="Q198" s="35"/>
      <c r="R198" s="35"/>
      <c r="S198" s="51"/>
    </row>
    <row r="199" spans="1:19" hidden="1" x14ac:dyDescent="0.2">
      <c r="A199" s="71" t="s">
        <v>435</v>
      </c>
      <c r="B199" s="72"/>
      <c r="C199" s="37"/>
      <c r="D199" s="37"/>
      <c r="E199" s="76">
        <f t="shared" ref="E199:E206" si="55">(D199-C199)/30</f>
        <v>0</v>
      </c>
      <c r="F199" s="46">
        <f t="shared" si="45"/>
        <v>1.6666666666666666E-2</v>
      </c>
      <c r="G199" s="47"/>
      <c r="H199" s="48">
        <f t="shared" si="51"/>
        <v>0</v>
      </c>
      <c r="I199" s="49">
        <f>+INDICES!L47/INDICES!K44</f>
        <v>1.1351670018924569</v>
      </c>
      <c r="J199" s="48">
        <f t="shared" si="52"/>
        <v>0</v>
      </c>
      <c r="K199" s="47"/>
      <c r="L199" s="47">
        <f t="shared" si="53"/>
        <v>0</v>
      </c>
      <c r="M199" s="48">
        <f>+L3</f>
        <v>87643.8</v>
      </c>
      <c r="N199" s="48">
        <f t="shared" si="54"/>
        <v>-87643.8</v>
      </c>
      <c r="O199" s="50">
        <f t="shared" si="44"/>
        <v>0</v>
      </c>
      <c r="P199" s="35"/>
      <c r="Q199" s="35"/>
      <c r="R199" s="35"/>
      <c r="S199" s="51"/>
    </row>
    <row r="200" spans="1:19" hidden="1" x14ac:dyDescent="0.2">
      <c r="A200" s="71" t="s">
        <v>436</v>
      </c>
      <c r="B200" s="72"/>
      <c r="C200" s="37"/>
      <c r="D200" s="37"/>
      <c r="E200" s="76">
        <f t="shared" si="55"/>
        <v>0</v>
      </c>
      <c r="F200" s="46">
        <f t="shared" si="45"/>
        <v>1.6666666666666666E-2</v>
      </c>
      <c r="G200" s="47"/>
      <c r="H200" s="48">
        <f t="shared" si="51"/>
        <v>0</v>
      </c>
      <c r="I200" s="49">
        <f>+INDICES!L47/INDICES!D44</f>
        <v>1.1388115780684664</v>
      </c>
      <c r="J200" s="48">
        <f t="shared" si="52"/>
        <v>0</v>
      </c>
      <c r="K200" s="47"/>
      <c r="L200" s="47">
        <f t="shared" si="53"/>
        <v>0</v>
      </c>
      <c r="M200" s="48">
        <f>+L3</f>
        <v>87643.8</v>
      </c>
      <c r="N200" s="48">
        <f t="shared" si="54"/>
        <v>-87643.8</v>
      </c>
      <c r="O200" s="50">
        <f t="shared" si="44"/>
        <v>0</v>
      </c>
      <c r="P200" s="35"/>
      <c r="Q200" s="35"/>
      <c r="R200" s="35"/>
      <c r="S200" s="51"/>
    </row>
    <row r="201" spans="1:19" hidden="1" x14ac:dyDescent="0.2">
      <c r="A201" s="71" t="s">
        <v>437</v>
      </c>
      <c r="B201" s="72"/>
      <c r="C201" s="37"/>
      <c r="D201" s="37"/>
      <c r="E201" s="76">
        <f t="shared" si="55"/>
        <v>0</v>
      </c>
      <c r="F201" s="46">
        <f t="shared" si="45"/>
        <v>1.6666666666666666E-2</v>
      </c>
      <c r="G201" s="47"/>
      <c r="H201" s="48">
        <f t="shared" si="51"/>
        <v>0</v>
      </c>
      <c r="I201" s="49">
        <f>+INDICES!L47/INDICES!M43</f>
        <v>1.1543428148492942</v>
      </c>
      <c r="J201" s="48">
        <f t="shared" si="52"/>
        <v>0</v>
      </c>
      <c r="K201" s="47"/>
      <c r="L201" s="47">
        <f t="shared" si="53"/>
        <v>0</v>
      </c>
      <c r="M201" s="48">
        <f>+L3</f>
        <v>87643.8</v>
      </c>
      <c r="N201" s="48">
        <f t="shared" si="54"/>
        <v>-87643.8</v>
      </c>
      <c r="O201" s="50">
        <f t="shared" si="44"/>
        <v>0</v>
      </c>
      <c r="P201" s="35"/>
      <c r="Q201" s="35"/>
      <c r="R201" s="35"/>
      <c r="S201" s="51"/>
    </row>
    <row r="202" spans="1:19" hidden="1" x14ac:dyDescent="0.2">
      <c r="A202" s="71" t="s">
        <v>438</v>
      </c>
      <c r="B202" s="72"/>
      <c r="C202" s="37"/>
      <c r="D202" s="37"/>
      <c r="E202" s="76">
        <f t="shared" si="55"/>
        <v>0</v>
      </c>
      <c r="F202" s="46">
        <f t="shared" si="45"/>
        <v>1.6666666666666666E-2</v>
      </c>
      <c r="G202" s="47"/>
      <c r="H202" s="48">
        <f t="shared" si="51"/>
        <v>0</v>
      </c>
      <c r="I202" s="49">
        <f>+INDICES!L47/INDICES!G44</f>
        <v>1.1451632249165384</v>
      </c>
      <c r="J202" s="48">
        <f t="shared" si="52"/>
        <v>0</v>
      </c>
      <c r="K202" s="47"/>
      <c r="L202" s="47">
        <f t="shared" si="53"/>
        <v>0</v>
      </c>
      <c r="M202" s="48">
        <f>+L3</f>
        <v>87643.8</v>
      </c>
      <c r="N202" s="48">
        <f t="shared" si="54"/>
        <v>-87643.8</v>
      </c>
      <c r="O202" s="50">
        <f t="shared" si="44"/>
        <v>0</v>
      </c>
      <c r="P202" s="35"/>
      <c r="Q202" s="35"/>
      <c r="R202" s="35"/>
      <c r="S202" s="51"/>
    </row>
    <row r="203" spans="1:19" hidden="1" x14ac:dyDescent="0.2">
      <c r="A203" s="71" t="s">
        <v>439</v>
      </c>
      <c r="B203" s="72"/>
      <c r="C203" s="37"/>
      <c r="D203" s="37"/>
      <c r="E203" s="76">
        <f t="shared" si="55"/>
        <v>0</v>
      </c>
      <c r="F203" s="46">
        <f t="shared" si="45"/>
        <v>1.6666666666666666E-2</v>
      </c>
      <c r="G203" s="47"/>
      <c r="H203" s="48">
        <f t="shared" si="51"/>
        <v>0</v>
      </c>
      <c r="I203" s="49">
        <f>+INDICES!L47/INDICES!G44</f>
        <v>1.1451632249165384</v>
      </c>
      <c r="J203" s="48">
        <f t="shared" si="52"/>
        <v>0</v>
      </c>
      <c r="K203" s="47"/>
      <c r="L203" s="47">
        <f t="shared" si="53"/>
        <v>0</v>
      </c>
      <c r="M203" s="48">
        <f>+L3</f>
        <v>87643.8</v>
      </c>
      <c r="N203" s="48">
        <f t="shared" si="54"/>
        <v>-87643.8</v>
      </c>
      <c r="O203" s="50">
        <f t="shared" si="44"/>
        <v>0</v>
      </c>
      <c r="P203" s="35"/>
      <c r="Q203" s="35"/>
      <c r="R203" s="35"/>
      <c r="S203" s="51"/>
    </row>
    <row r="204" spans="1:19" hidden="1" x14ac:dyDescent="0.2">
      <c r="A204" s="71" t="s">
        <v>440</v>
      </c>
      <c r="B204" s="72"/>
      <c r="C204" s="37"/>
      <c r="D204" s="37"/>
      <c r="E204" s="76">
        <f t="shared" si="55"/>
        <v>0</v>
      </c>
      <c r="F204" s="46">
        <f t="shared" si="45"/>
        <v>1.6666666666666666E-2</v>
      </c>
      <c r="G204" s="47"/>
      <c r="H204" s="48">
        <f t="shared" si="51"/>
        <v>0</v>
      </c>
      <c r="I204" s="49">
        <f>+INDICES!L47/INDICES!N46</f>
        <v>1.0274509452236611</v>
      </c>
      <c r="J204" s="48">
        <f t="shared" si="52"/>
        <v>0</v>
      </c>
      <c r="K204" s="47"/>
      <c r="L204" s="47">
        <f t="shared" si="53"/>
        <v>0</v>
      </c>
      <c r="M204" s="48">
        <f>+L3</f>
        <v>87643.8</v>
      </c>
      <c r="N204" s="48">
        <f t="shared" si="54"/>
        <v>-87643.8</v>
      </c>
      <c r="O204" s="50">
        <f t="shared" si="44"/>
        <v>0</v>
      </c>
      <c r="P204" s="35"/>
      <c r="Q204" s="35"/>
      <c r="R204" s="35"/>
      <c r="S204" s="51"/>
    </row>
    <row r="205" spans="1:19" hidden="1" x14ac:dyDescent="0.2">
      <c r="A205" s="71" t="s">
        <v>441</v>
      </c>
      <c r="B205" s="72"/>
      <c r="C205" s="37"/>
      <c r="D205" s="37"/>
      <c r="E205" s="76">
        <f t="shared" si="55"/>
        <v>0</v>
      </c>
      <c r="F205" s="46">
        <f t="shared" si="45"/>
        <v>1.6666666666666666E-2</v>
      </c>
      <c r="G205" s="47"/>
      <c r="H205" s="48">
        <f t="shared" si="51"/>
        <v>0</v>
      </c>
      <c r="I205" s="49">
        <f>+INDICES!L47/INDICES!I44</f>
        <v>1.1397518926393491</v>
      </c>
      <c r="J205" s="48">
        <f t="shared" si="52"/>
        <v>0</v>
      </c>
      <c r="K205" s="47"/>
      <c r="L205" s="47">
        <f t="shared" si="53"/>
        <v>0</v>
      </c>
      <c r="M205" s="48">
        <f>+L3</f>
        <v>87643.8</v>
      </c>
      <c r="N205" s="48">
        <f t="shared" si="54"/>
        <v>-87643.8</v>
      </c>
      <c r="O205" s="50">
        <f t="shared" si="44"/>
        <v>0</v>
      </c>
      <c r="P205" s="35"/>
      <c r="Q205" s="35"/>
      <c r="R205" s="35"/>
      <c r="S205" s="51"/>
    </row>
    <row r="206" spans="1:19" hidden="1" x14ac:dyDescent="0.2">
      <c r="A206" s="77" t="s">
        <v>442</v>
      </c>
      <c r="B206" s="78"/>
      <c r="C206" s="79"/>
      <c r="D206" s="79"/>
      <c r="E206" s="80">
        <f t="shared" si="55"/>
        <v>0</v>
      </c>
      <c r="F206" s="46">
        <f t="shared" si="45"/>
        <v>1.6666666666666666E-2</v>
      </c>
      <c r="G206" s="81"/>
      <c r="H206" s="48">
        <f t="shared" si="51"/>
        <v>0</v>
      </c>
      <c r="I206" s="49">
        <f>+INDICES!L48/INDICES!I45</f>
        <v>1.1185739872718266</v>
      </c>
      <c r="J206" s="48">
        <f t="shared" si="52"/>
        <v>0</v>
      </c>
      <c r="K206" s="81"/>
      <c r="L206" s="47">
        <f t="shared" si="53"/>
        <v>0</v>
      </c>
      <c r="M206" s="48">
        <f>+L3</f>
        <v>87643.8</v>
      </c>
      <c r="N206" s="48">
        <f t="shared" si="54"/>
        <v>-87643.8</v>
      </c>
      <c r="O206" s="50">
        <f t="shared" si="44"/>
        <v>0</v>
      </c>
      <c r="P206" s="79"/>
      <c r="Q206" s="79"/>
      <c r="R206" s="79"/>
      <c r="S206" s="82"/>
    </row>
  </sheetData>
  <mergeCells count="6">
    <mergeCell ref="N3:Q3"/>
    <mergeCell ref="A1:C5"/>
    <mergeCell ref="D3:G3"/>
    <mergeCell ref="D4:G4"/>
    <mergeCell ref="H4:K4"/>
    <mergeCell ref="L3:M3"/>
  </mergeCells>
  <phoneticPr fontId="0" type="noConversion"/>
  <pageMargins left="0.29652777777777778" right="0.26458333333333334" top="0.31388888888888888" bottom="0.98402777777777772" header="0.51180555555555551" footer="0.51180555555555551"/>
  <pageSetup scale="46" firstPageNumber="0" fitToHeight="0" orientation="landscape" horizontalDpi="300" verticalDpi="300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0" sqref="G50"/>
    </sheetView>
  </sheetViews>
  <sheetFormatPr baseColWidth="10" defaultRowHeight="12.75" x14ac:dyDescent="0.2"/>
  <cols>
    <col min="1" max="1" width="6.140625" customWidth="1"/>
    <col min="2" max="2" width="12.7109375" customWidth="1"/>
    <col min="3" max="3" width="10.85546875" customWidth="1"/>
    <col min="4" max="4" width="9.5703125" bestFit="1" customWidth="1"/>
    <col min="5" max="5" width="11.7109375" bestFit="1" customWidth="1"/>
    <col min="6" max="6" width="11" bestFit="1" customWidth="1"/>
    <col min="7" max="7" width="9.5703125" bestFit="1" customWidth="1"/>
    <col min="8" max="8" width="10.5703125" customWidth="1"/>
    <col min="9" max="9" width="12" bestFit="1" customWidth="1"/>
    <col min="10" max="10" width="8.5703125" customWidth="1"/>
    <col min="11" max="11" width="9.28515625" customWidth="1"/>
    <col min="12" max="13" width="8.5703125" customWidth="1"/>
    <col min="14" max="14" width="11.5703125" bestFit="1" customWidth="1"/>
    <col min="16" max="16" width="12.42578125" bestFit="1" customWidth="1"/>
  </cols>
  <sheetData>
    <row r="1" spans="1:14" x14ac:dyDescent="0.2">
      <c r="A1" s="1"/>
      <c r="B1" s="14" t="s">
        <v>8</v>
      </c>
      <c r="C1" s="14" t="s">
        <v>9</v>
      </c>
      <c r="D1" s="14" t="s">
        <v>10</v>
      </c>
      <c r="E1" s="14" t="s">
        <v>11</v>
      </c>
      <c r="F1" s="14" t="s">
        <v>12</v>
      </c>
      <c r="G1" s="14" t="s">
        <v>13</v>
      </c>
      <c r="H1" s="14" t="s">
        <v>14</v>
      </c>
      <c r="I1" s="14" t="s">
        <v>15</v>
      </c>
      <c r="J1" s="14" t="s">
        <v>16</v>
      </c>
      <c r="K1" s="14" t="s">
        <v>17</v>
      </c>
      <c r="L1" s="14" t="s">
        <v>18</v>
      </c>
      <c r="M1" s="14" t="s">
        <v>19</v>
      </c>
      <c r="N1" s="14" t="s">
        <v>8</v>
      </c>
    </row>
    <row r="2" spans="1:14" x14ac:dyDescent="0.2">
      <c r="A2" s="14">
        <v>1969</v>
      </c>
      <c r="B2" s="2"/>
      <c r="C2" s="3">
        <v>2.2381000000000002E-2</v>
      </c>
      <c r="D2" s="2">
        <v>2.2461999999999999E-2</v>
      </c>
      <c r="E2" s="2">
        <v>2.2484000000000001E-2</v>
      </c>
      <c r="F2" s="2">
        <v>2.2544999999999999E-2</v>
      </c>
      <c r="G2" s="2">
        <v>2.2544999999999999E-2</v>
      </c>
      <c r="H2" s="4">
        <v>2.2624999999999999E-2</v>
      </c>
      <c r="I2" s="2">
        <v>2.2710999999999999E-2</v>
      </c>
      <c r="J2" s="2">
        <v>2.2735999999999999E-2</v>
      </c>
      <c r="K2" s="2">
        <v>2.2949000000000001E-2</v>
      </c>
      <c r="L2" s="2">
        <v>2.3189999999999999E-2</v>
      </c>
      <c r="M2" s="2">
        <v>2.3189999999999999E-2</v>
      </c>
      <c r="N2" s="2" t="s">
        <v>20</v>
      </c>
    </row>
    <row r="3" spans="1:14" x14ac:dyDescent="0.2">
      <c r="A3" s="14">
        <v>1970</v>
      </c>
      <c r="B3" s="2"/>
      <c r="C3" s="2">
        <v>2.3545E-2</v>
      </c>
      <c r="D3" s="2">
        <v>2.3542E-2</v>
      </c>
      <c r="E3" s="2">
        <v>2.3612000000000001E-2</v>
      </c>
      <c r="F3" s="2">
        <v>2.3642E-2</v>
      </c>
      <c r="G3" s="2">
        <v>2.3692000000000001E-2</v>
      </c>
      <c r="H3" s="4">
        <v>2.3836E-2</v>
      </c>
      <c r="I3" s="2">
        <v>2.3952000000000001E-2</v>
      </c>
      <c r="J3" s="2">
        <v>2.4063000000000001E-2</v>
      </c>
      <c r="K3" s="2">
        <v>2.4121E-2</v>
      </c>
      <c r="L3" s="2">
        <v>2.4129999999999999E-2</v>
      </c>
      <c r="M3" s="2"/>
      <c r="N3" s="2"/>
    </row>
    <row r="4" spans="1:14" x14ac:dyDescent="0.2">
      <c r="A4" s="14">
        <v>1971</v>
      </c>
      <c r="B4" s="2"/>
      <c r="C4" s="2">
        <v>2.4705999999999999E-2</v>
      </c>
      <c r="D4" s="2">
        <v>2.4806000000000002E-2</v>
      </c>
      <c r="E4" s="2">
        <v>2.4902000000000001E-2</v>
      </c>
      <c r="F4" s="2">
        <v>2.503E-2</v>
      </c>
      <c r="G4" s="2">
        <v>2.5083000000000001E-2</v>
      </c>
      <c r="H4" s="4">
        <v>2.5196E-2</v>
      </c>
      <c r="I4" s="2">
        <v>2.5177000000000001E-2</v>
      </c>
      <c r="J4" s="2">
        <v>2.5406999999999999E-2</v>
      </c>
      <c r="K4" s="2">
        <v>2.5489999999999999E-2</v>
      </c>
      <c r="L4" s="2">
        <v>2.5514999999999999E-2</v>
      </c>
      <c r="M4" s="2"/>
      <c r="N4" s="2"/>
    </row>
    <row r="5" spans="1:14" x14ac:dyDescent="0.2">
      <c r="A5" s="14">
        <v>1972</v>
      </c>
      <c r="B5" s="2"/>
      <c r="C5" s="2">
        <v>2.5791999999999999E-2</v>
      </c>
      <c r="D5" s="2">
        <v>2.5871999999999999E-2</v>
      </c>
      <c r="E5" s="2">
        <v>2.6013000000000001E-2</v>
      </c>
      <c r="F5" s="2">
        <v>2.6176999999999999E-2</v>
      </c>
      <c r="G5" s="2">
        <v>2.6228999999999999E-2</v>
      </c>
      <c r="H5" s="4">
        <v>2.6422999999999999E-2</v>
      </c>
      <c r="I5" s="2">
        <v>2.6523000000000001E-2</v>
      </c>
      <c r="J5" s="2">
        <v>2.6698E-2</v>
      </c>
      <c r="K5" s="2">
        <v>2.682E-2</v>
      </c>
      <c r="L5" s="2">
        <v>2.6838999999999998E-2</v>
      </c>
      <c r="M5" s="2"/>
      <c r="N5" s="2"/>
    </row>
    <row r="6" spans="1:14" x14ac:dyDescent="0.2">
      <c r="A6" s="14">
        <v>1973</v>
      </c>
      <c r="B6" s="2"/>
      <c r="C6" s="2">
        <v>2.7498000000000002E-2</v>
      </c>
      <c r="D6" s="2">
        <v>2.7725E-2</v>
      </c>
      <c r="E6" s="2">
        <v>2.7969000000000001E-2</v>
      </c>
      <c r="F6" s="2">
        <v>2.8412E-2</v>
      </c>
      <c r="G6" s="2">
        <v>2.8714E-2</v>
      </c>
      <c r="H6" s="4">
        <v>2.895E-2</v>
      </c>
      <c r="I6" s="2">
        <v>2.9692E-2</v>
      </c>
      <c r="J6" s="2">
        <v>3.0169000000000001E-2</v>
      </c>
      <c r="K6" s="2">
        <v>3.0886E-2</v>
      </c>
      <c r="L6" s="2">
        <v>3.1282999999999998E-2</v>
      </c>
      <c r="M6" s="2"/>
      <c r="N6" s="2"/>
    </row>
    <row r="7" spans="1:14" x14ac:dyDescent="0.2">
      <c r="A7" s="14">
        <v>1974</v>
      </c>
      <c r="B7" s="2"/>
      <c r="C7" s="2">
        <v>3.4075000000000001E-2</v>
      </c>
      <c r="D7" s="2">
        <v>3.4845000000000001E-2</v>
      </c>
      <c r="E7" s="2">
        <v>3.5113999999999999E-2</v>
      </c>
      <c r="F7" s="2">
        <v>3.5589999999999997E-2</v>
      </c>
      <c r="G7" s="2">
        <v>3.5869999999999999E-2</v>
      </c>
      <c r="H7" s="4">
        <v>3.6225E-2</v>
      </c>
      <c r="I7" s="2">
        <v>3.6748000000000003E-2</v>
      </c>
      <c r="J7" s="2">
        <v>3.7136000000000002E-2</v>
      </c>
      <c r="K7" s="2">
        <v>3.7557E-2</v>
      </c>
      <c r="L7" s="2">
        <v>3.8302999999999997E-2</v>
      </c>
      <c r="M7" s="2"/>
      <c r="N7" s="2"/>
    </row>
    <row r="8" spans="1:14" x14ac:dyDescent="0.2">
      <c r="A8" s="14">
        <v>1975</v>
      </c>
      <c r="B8" s="2"/>
      <c r="C8" s="2">
        <v>4.0181000000000001E-2</v>
      </c>
      <c r="D8" s="2">
        <v>4.0402E-2</v>
      </c>
      <c r="E8" s="2">
        <v>4.0656999999999999E-2</v>
      </c>
      <c r="F8" s="2">
        <v>4.1001000000000003E-2</v>
      </c>
      <c r="G8" s="2">
        <v>4.1549000000000003E-2</v>
      </c>
      <c r="H8" s="4">
        <v>4.2256000000000002E-2</v>
      </c>
      <c r="I8" s="2">
        <v>4.2594E-2</v>
      </c>
      <c r="J8" s="2">
        <v>4.2962E-2</v>
      </c>
      <c r="K8" s="2">
        <v>4.3275000000000001E-2</v>
      </c>
      <c r="L8" s="2">
        <v>4.3497000000000001E-2</v>
      </c>
      <c r="M8" s="2"/>
      <c r="N8" s="2"/>
    </row>
    <row r="9" spans="1:14" x14ac:dyDescent="0.2">
      <c r="A9" s="14">
        <v>1976</v>
      </c>
      <c r="B9" s="2"/>
      <c r="C9" s="2">
        <v>4.5012000000000003E-2</v>
      </c>
      <c r="D9" s="2">
        <v>4.5853999999999999E-2</v>
      </c>
      <c r="E9" s="2">
        <v>4.6302999999999997E-2</v>
      </c>
      <c r="F9" s="2">
        <v>4.6627000000000002E-2</v>
      </c>
      <c r="G9" s="2">
        <v>4.6954000000000003E-2</v>
      </c>
      <c r="H9" s="4">
        <v>4.7142999999999997E-2</v>
      </c>
      <c r="I9" s="2">
        <v>4.7542000000000001E-2</v>
      </c>
      <c r="J9" s="2">
        <v>4.7995999999999997E-2</v>
      </c>
      <c r="K9" s="2">
        <v>4.9632999999999997E-2</v>
      </c>
      <c r="L9" s="2">
        <v>5.2428000000000002E-2</v>
      </c>
      <c r="M9" s="2"/>
      <c r="N9" s="2"/>
    </row>
    <row r="10" spans="1:14" x14ac:dyDescent="0.2">
      <c r="A10" s="14">
        <v>1977</v>
      </c>
      <c r="B10" s="2"/>
      <c r="C10" s="2">
        <v>5.7960999999999999E-2</v>
      </c>
      <c r="D10" s="2">
        <v>5.9241000000000002E-2</v>
      </c>
      <c r="E10" s="2">
        <v>6.0274000000000001E-2</v>
      </c>
      <c r="F10" s="2">
        <v>6.1185000000000003E-2</v>
      </c>
      <c r="G10" s="2">
        <v>6.1723E-2</v>
      </c>
      <c r="H10" s="4">
        <v>6.2479E-2</v>
      </c>
      <c r="I10" s="2">
        <v>6.3186000000000006E-2</v>
      </c>
      <c r="J10" s="2">
        <v>6.4481999999999998E-2</v>
      </c>
      <c r="K10" s="2">
        <v>6.5626000000000004E-2</v>
      </c>
      <c r="L10" s="2">
        <v>6.6128000000000006E-2</v>
      </c>
      <c r="M10" s="2"/>
      <c r="N10" s="2"/>
    </row>
    <row r="11" spans="1:14" x14ac:dyDescent="0.2">
      <c r="A11" s="14">
        <v>1978</v>
      </c>
      <c r="B11" s="2"/>
      <c r="C11" s="2">
        <v>6.9282999999999997E-2</v>
      </c>
      <c r="D11" s="2">
        <v>7.0277999999999993E-2</v>
      </c>
      <c r="E11" s="2">
        <v>7.1009000000000003E-2</v>
      </c>
      <c r="F11" s="2">
        <v>7.1799000000000002E-2</v>
      </c>
      <c r="G11" s="2">
        <v>7.2501999999999997E-2</v>
      </c>
      <c r="H11" s="4">
        <v>7.3499999999999996E-2</v>
      </c>
      <c r="I11" s="2">
        <v>7.4746000000000007E-2</v>
      </c>
      <c r="J11" s="2">
        <v>7.5491000000000003E-2</v>
      </c>
      <c r="K11" s="2">
        <v>7.6353000000000004E-2</v>
      </c>
      <c r="L11" s="2">
        <v>7.7277999999999999E-2</v>
      </c>
      <c r="M11" s="2"/>
      <c r="N11" s="2"/>
    </row>
    <row r="12" spans="1:14" x14ac:dyDescent="0.2">
      <c r="A12" s="14">
        <v>1979</v>
      </c>
      <c r="B12" s="2"/>
      <c r="C12" s="2">
        <v>8.1531000000000006E-2</v>
      </c>
      <c r="D12" s="2">
        <v>8.2702999999999999E-2</v>
      </c>
      <c r="E12" s="2">
        <v>8.3824999999999997E-2</v>
      </c>
      <c r="F12" s="2">
        <v>8.4574999999999997E-2</v>
      </c>
      <c r="G12" s="2">
        <v>8.5683999999999996E-2</v>
      </c>
      <c r="H12" s="4">
        <v>8.6634000000000003E-2</v>
      </c>
      <c r="I12" s="2">
        <v>8.7683999999999998E-2</v>
      </c>
      <c r="J12" s="2">
        <v>8.9011000000000007E-2</v>
      </c>
      <c r="K12" s="2">
        <v>9.0102000000000002E-2</v>
      </c>
      <c r="L12" s="2">
        <v>9.1675999999999994E-2</v>
      </c>
      <c r="M12" s="2"/>
      <c r="N12" s="2">
        <f>0.03411*27.7032/100</f>
        <v>9.4495615200000001E-3</v>
      </c>
    </row>
    <row r="13" spans="1:14" x14ac:dyDescent="0.2">
      <c r="A13" s="14">
        <v>1980</v>
      </c>
      <c r="B13" s="2">
        <f t="shared" ref="B13:B25" si="0">+N12</f>
        <v>9.4495615200000001E-3</v>
      </c>
      <c r="C13" s="2">
        <v>9.9106E-2</v>
      </c>
      <c r="D13" s="2">
        <v>1.014E-2</v>
      </c>
      <c r="E13" s="2">
        <v>0.10348</v>
      </c>
      <c r="F13" s="2">
        <v>0.10528999999999999</v>
      </c>
      <c r="G13" s="2">
        <v>0.10700999999999999</v>
      </c>
      <c r="H13" s="4">
        <v>0.10913</v>
      </c>
      <c r="I13" s="2">
        <v>0.11218</v>
      </c>
      <c r="J13" s="2">
        <v>0.1145</v>
      </c>
      <c r="K13" s="2">
        <v>0.11577</v>
      </c>
      <c r="L13" s="2">
        <v>0.11753</v>
      </c>
      <c r="M13" s="2">
        <f>0.04242*27.7032/100</f>
        <v>1.175169744E-2</v>
      </c>
      <c r="N13" s="2">
        <f>0.4429*27.7032/100</f>
        <v>0.12269747280000001</v>
      </c>
    </row>
    <row r="14" spans="1:14" x14ac:dyDescent="0.2">
      <c r="A14" s="14">
        <v>1981</v>
      </c>
      <c r="B14" s="2">
        <f t="shared" si="0"/>
        <v>0.12269747280000001</v>
      </c>
      <c r="C14" s="2">
        <v>0.12665999999999999</v>
      </c>
      <c r="D14" s="2">
        <v>0.12977</v>
      </c>
      <c r="E14" s="2">
        <v>0.13253999999999999</v>
      </c>
      <c r="F14" s="2">
        <v>0.13553000000000001</v>
      </c>
      <c r="G14" s="2">
        <v>0.13758000000000001</v>
      </c>
      <c r="H14" s="4">
        <v>0.13951</v>
      </c>
      <c r="I14" s="2">
        <v>0.14196</v>
      </c>
      <c r="J14" s="2">
        <v>0.14488999999999999</v>
      </c>
      <c r="K14" s="2">
        <v>0.14757999999999999</v>
      </c>
      <c r="L14" s="2">
        <v>0.15085999999999999</v>
      </c>
      <c r="M14" s="2">
        <f>0.555*27.7032/100</f>
        <v>0.15375276000000002</v>
      </c>
      <c r="N14" s="2">
        <f>0.57*27.7032/100</f>
        <v>0.15790823999999998</v>
      </c>
    </row>
    <row r="15" spans="1:14" x14ac:dyDescent="0.2">
      <c r="A15" s="14">
        <v>1982</v>
      </c>
      <c r="B15" s="2">
        <f t="shared" si="0"/>
        <v>0.15790823999999998</v>
      </c>
      <c r="C15" s="2">
        <v>0.16575000000000001</v>
      </c>
      <c r="D15" s="2">
        <v>0.17226</v>
      </c>
      <c r="E15" s="2">
        <v>0.17854999999999999</v>
      </c>
      <c r="F15" s="2">
        <v>0.18823000000000001</v>
      </c>
      <c r="G15" s="2">
        <v>0.19880999999999999</v>
      </c>
      <c r="H15" s="4">
        <v>0.20838000000000001</v>
      </c>
      <c r="I15" s="2">
        <v>0.21912000000000001</v>
      </c>
      <c r="J15" s="2">
        <v>0.24371000000000001</v>
      </c>
      <c r="K15" s="2">
        <v>0.25672</v>
      </c>
      <c r="L15" s="2">
        <v>0.27002999999999999</v>
      </c>
      <c r="M15" s="2">
        <f>1.024*27.7032/100</f>
        <v>0.28368076800000003</v>
      </c>
      <c r="N15" s="2">
        <f>1.1334*27.7032/100</f>
        <v>0.31398806879999996</v>
      </c>
    </row>
    <row r="16" spans="1:14" x14ac:dyDescent="0.2">
      <c r="A16" s="14">
        <v>1983</v>
      </c>
      <c r="B16" s="2">
        <f t="shared" si="0"/>
        <v>0.31398806879999996</v>
      </c>
      <c r="C16" s="2">
        <v>0.34814000000000001</v>
      </c>
      <c r="D16" s="2">
        <v>0.36681999999999998</v>
      </c>
      <c r="E16" s="2">
        <v>0.38457999999999998</v>
      </c>
      <c r="F16" s="2">
        <v>0.40893000000000002</v>
      </c>
      <c r="G16" s="2">
        <v>0.42665999999999998</v>
      </c>
      <c r="H16" s="4">
        <v>0.44281999999999999</v>
      </c>
      <c r="I16" s="2">
        <v>0.46471000000000001</v>
      </c>
      <c r="J16" s="2">
        <v>0.48275000000000001</v>
      </c>
      <c r="K16" s="2">
        <v>0.49761</v>
      </c>
      <c r="L16" s="2">
        <v>0.51412000000000002</v>
      </c>
      <c r="M16" s="2">
        <f>1.9648*27.7032/100</f>
        <v>0.54431247360000001</v>
      </c>
      <c r="N16" s="2">
        <f>2.0488*27.7032/100</f>
        <v>0.5675831616</v>
      </c>
    </row>
    <row r="17" spans="1:15" x14ac:dyDescent="0.2">
      <c r="A17" s="14">
        <v>1984</v>
      </c>
      <c r="B17" s="16">
        <f t="shared" si="0"/>
        <v>0.5675831616</v>
      </c>
      <c r="C17" s="16">
        <v>0.60365999999999997</v>
      </c>
      <c r="D17" s="16">
        <v>0.63551999999999997</v>
      </c>
      <c r="E17" s="16">
        <v>0.66268000000000005</v>
      </c>
      <c r="F17" s="16">
        <v>0.69135000000000002</v>
      </c>
      <c r="G17" s="16">
        <v>0.71426999999999996</v>
      </c>
      <c r="H17" s="17">
        <v>0.74012</v>
      </c>
      <c r="I17" s="16">
        <v>0.76437999999999995</v>
      </c>
      <c r="J17" s="16">
        <v>0.78610999999999998</v>
      </c>
      <c r="K17" s="16">
        <v>0.80952999999999997</v>
      </c>
      <c r="L17" s="16">
        <v>0.83781000000000005</v>
      </c>
      <c r="M17" s="16">
        <f>3.128*27.7032/100</f>
        <v>0.86655609600000005</v>
      </c>
      <c r="N17" s="16">
        <f>3.2609*27.7032/100</f>
        <v>0.90337364879999993</v>
      </c>
    </row>
    <row r="18" spans="1:15" x14ac:dyDescent="0.2">
      <c r="A18" s="14">
        <v>1985</v>
      </c>
      <c r="B18" s="16">
        <f t="shared" si="0"/>
        <v>0.90337364879999993</v>
      </c>
      <c r="C18" s="16">
        <v>0.97038000000000002</v>
      </c>
      <c r="D18" s="16">
        <v>1.0106999999999999</v>
      </c>
      <c r="E18" s="16">
        <v>1.0499000000000001</v>
      </c>
      <c r="F18" s="16">
        <v>1.0822000000000001</v>
      </c>
      <c r="G18" s="16">
        <v>1.1077999999999999</v>
      </c>
      <c r="H18" s="17">
        <v>1.1355</v>
      </c>
      <c r="I18" s="16">
        <v>1.1751</v>
      </c>
      <c r="J18" s="16">
        <v>1.2264999999999999</v>
      </c>
      <c r="K18" s="16">
        <v>1.2754000000000001</v>
      </c>
      <c r="L18" s="16">
        <v>1.3239000000000001</v>
      </c>
      <c r="M18" s="16">
        <f>4.9993*27.7032/100</f>
        <v>1.3849660775999999</v>
      </c>
      <c r="N18" s="16">
        <f>5.3397*27.7032/100</f>
        <v>1.4792677703999999</v>
      </c>
    </row>
    <row r="19" spans="1:15" x14ac:dyDescent="0.2">
      <c r="A19" s="14">
        <v>1986</v>
      </c>
      <c r="B19" s="16">
        <f t="shared" si="0"/>
        <v>1.4792677703999999</v>
      </c>
      <c r="C19" s="16">
        <v>1.61</v>
      </c>
      <c r="D19" s="16">
        <v>1.6816</v>
      </c>
      <c r="E19" s="16">
        <v>1.7598</v>
      </c>
      <c r="F19" s="16">
        <v>1.8516999999999999</v>
      </c>
      <c r="G19" s="16">
        <v>1.9545999999999999</v>
      </c>
      <c r="H19" s="17">
        <v>2.08</v>
      </c>
      <c r="I19" s="16">
        <v>2.1838000000000002</v>
      </c>
      <c r="J19" s="16">
        <v>2.3578999999999999</v>
      </c>
      <c r="K19" s="16">
        <v>2.4994000000000001</v>
      </c>
      <c r="L19" s="16">
        <v>2.6421999999999999</v>
      </c>
      <c r="M19" s="16">
        <f>10.1823*27.7032/100</f>
        <v>2.8208229336000001</v>
      </c>
      <c r="N19" s="16">
        <f>10.9862*27.7032/100</f>
        <v>3.0435289583999996</v>
      </c>
    </row>
    <row r="20" spans="1:15" x14ac:dyDescent="0.2">
      <c r="A20" s="14">
        <v>1987</v>
      </c>
      <c r="B20" s="16">
        <f t="shared" si="0"/>
        <v>3.0435289583999996</v>
      </c>
      <c r="C20" s="16">
        <v>3.29</v>
      </c>
      <c r="D20" s="16">
        <v>3.5274000000000001</v>
      </c>
      <c r="E20" s="16">
        <v>3.7605</v>
      </c>
      <c r="F20" s="16">
        <v>4.0895000000000001</v>
      </c>
      <c r="G20" s="16">
        <v>4.3978000000000002</v>
      </c>
      <c r="H20" s="17">
        <v>4.7160000000000002</v>
      </c>
      <c r="I20" s="16">
        <v>5.0979999999999999</v>
      </c>
      <c r="J20" s="16">
        <v>5.5145999999999997</v>
      </c>
      <c r="K20" s="16">
        <v>5.8779000000000003</v>
      </c>
      <c r="L20" s="16">
        <v>6.3677999999999999</v>
      </c>
      <c r="M20" s="16">
        <f>24.8087*27.7032/100</f>
        <v>6.8728037784000007</v>
      </c>
      <c r="N20" s="16">
        <f>28.4729*27.7032/100</f>
        <v>7.8879044328000001</v>
      </c>
    </row>
    <row r="21" spans="1:15" x14ac:dyDescent="0.2">
      <c r="A21" s="14">
        <v>1988</v>
      </c>
      <c r="B21" s="16">
        <f t="shared" si="0"/>
        <v>7.8879044328000001</v>
      </c>
      <c r="C21" s="16">
        <v>9.1075999999999997</v>
      </c>
      <c r="D21" s="16">
        <v>9.8673000000000002</v>
      </c>
      <c r="E21" s="16">
        <v>10.372999999999999</v>
      </c>
      <c r="F21" s="16">
        <v>10.692</v>
      </c>
      <c r="G21" s="16">
        <v>10.898999999999999</v>
      </c>
      <c r="H21" s="17">
        <v>11.121</v>
      </c>
      <c r="I21" s="16">
        <v>11.307</v>
      </c>
      <c r="J21" s="16">
        <v>11.411</v>
      </c>
      <c r="K21" s="16">
        <v>11.476000000000001</v>
      </c>
      <c r="L21" s="16">
        <v>11.563000000000001</v>
      </c>
      <c r="M21" s="16">
        <f>42.2989*27.7032/100</f>
        <v>11.7181488648</v>
      </c>
      <c r="N21" s="16">
        <f>43.1814*27.7032/100</f>
        <v>11.9626296048</v>
      </c>
    </row>
    <row r="22" spans="1:15" x14ac:dyDescent="0.2">
      <c r="A22" s="14">
        <v>1989</v>
      </c>
      <c r="B22" s="16">
        <f t="shared" si="0"/>
        <v>11.9626296048</v>
      </c>
      <c r="C22" s="16">
        <v>12.256</v>
      </c>
      <c r="D22" s="16">
        <v>12.422000000000001</v>
      </c>
      <c r="E22" s="16">
        <v>12.555999999999999</v>
      </c>
      <c r="F22" s="16">
        <v>12.744</v>
      </c>
      <c r="G22" s="16">
        <v>12.92</v>
      </c>
      <c r="H22" s="17">
        <v>13.077</v>
      </c>
      <c r="I22" s="16">
        <v>13.207000000000001</v>
      </c>
      <c r="J22" s="16">
        <v>13.333</v>
      </c>
      <c r="K22" s="16">
        <v>13.461</v>
      </c>
      <c r="L22" s="16">
        <v>13.66</v>
      </c>
      <c r="M22" s="16">
        <f>49.9996*27.7032/100</f>
        <v>13.8514891872</v>
      </c>
      <c r="N22" s="16">
        <f>51.687*27.7032/100</f>
        <v>14.318952983999997</v>
      </c>
    </row>
    <row r="23" spans="1:15" x14ac:dyDescent="0.2">
      <c r="A23" s="14">
        <v>1990</v>
      </c>
      <c r="B23" s="16">
        <f t="shared" si="0"/>
        <v>14.318952983999997</v>
      </c>
      <c r="C23" s="16">
        <v>15.01</v>
      </c>
      <c r="D23" s="16">
        <v>15.35</v>
      </c>
      <c r="E23" s="16">
        <v>15.621</v>
      </c>
      <c r="F23" s="16">
        <v>15.858000000000001</v>
      </c>
      <c r="G23" s="16">
        <v>16.135000000000002</v>
      </c>
      <c r="H23" s="17">
        <v>16.489999999999998</v>
      </c>
      <c r="I23" s="16">
        <v>16.791</v>
      </c>
      <c r="J23" s="16">
        <v>17.077000000000002</v>
      </c>
      <c r="K23" s="16">
        <v>17.321000000000002</v>
      </c>
      <c r="L23" s="16">
        <v>17.57</v>
      </c>
      <c r="M23" s="16">
        <f>65.1049*27.7032/100</f>
        <v>18.036140656799997</v>
      </c>
      <c r="N23" s="16">
        <f>67.1568*27.7032/100</f>
        <v>18.604582617600002</v>
      </c>
    </row>
    <row r="24" spans="1:15" x14ac:dyDescent="0.2">
      <c r="A24" s="14">
        <v>1991</v>
      </c>
      <c r="B24" s="16">
        <f t="shared" si="0"/>
        <v>18.604582617600002</v>
      </c>
      <c r="C24" s="16">
        <v>19.079000000000001</v>
      </c>
      <c r="D24" s="16">
        <v>19.411999999999999</v>
      </c>
      <c r="E24" s="16">
        <v>19.689</v>
      </c>
      <c r="F24" s="16">
        <v>19.895</v>
      </c>
      <c r="G24" s="16">
        <v>20.088999999999999</v>
      </c>
      <c r="H24" s="17">
        <v>20.3</v>
      </c>
      <c r="I24" s="16">
        <v>20.48</v>
      </c>
      <c r="J24" s="16">
        <v>20.622</v>
      </c>
      <c r="K24" s="16">
        <v>20.827999999999999</v>
      </c>
      <c r="L24" s="16">
        <v>21.07</v>
      </c>
      <c r="M24" s="16">
        <f>77.9438*27.7032/100</f>
        <v>21.592926801599997</v>
      </c>
      <c r="N24" s="16">
        <f>79.7786*27.7032/100</f>
        <v>22.101225115199998</v>
      </c>
    </row>
    <row r="25" spans="1:15" x14ac:dyDescent="0.2">
      <c r="A25" s="14">
        <v>1992</v>
      </c>
      <c r="B25" s="16">
        <f t="shared" si="0"/>
        <v>22.101225115199998</v>
      </c>
      <c r="C25" s="16">
        <v>22.503</v>
      </c>
      <c r="D25" s="16">
        <v>22.77</v>
      </c>
      <c r="E25" s="16">
        <v>23.001000000000001</v>
      </c>
      <c r="F25" s="16">
        <v>23.206</v>
      </c>
      <c r="G25" s="16">
        <v>23.359000000000002</v>
      </c>
      <c r="H25" s="17">
        <v>23.516999999999999</v>
      </c>
      <c r="I25" s="16">
        <v>23.666</v>
      </c>
      <c r="J25" s="16">
        <v>23.811</v>
      </c>
      <c r="K25" s="16">
        <v>24.018000000000001</v>
      </c>
      <c r="L25" s="16">
        <v>24.190999999999999</v>
      </c>
      <c r="M25" s="16">
        <v>24.391999999999999</v>
      </c>
      <c r="N25" s="16">
        <v>24.74</v>
      </c>
    </row>
    <row r="26" spans="1:15" x14ac:dyDescent="0.2">
      <c r="A26" s="14">
        <v>1993</v>
      </c>
      <c r="B26" s="16">
        <f>+N25</f>
        <v>24.74</v>
      </c>
      <c r="C26" s="16">
        <v>25.05</v>
      </c>
      <c r="D26" s="16">
        <v>25.254999999999999</v>
      </c>
      <c r="E26" s="16">
        <v>25.402000000000001</v>
      </c>
      <c r="F26" s="16">
        <v>25.547999999999998</v>
      </c>
      <c r="G26" s="16">
        <v>25.693999999999999</v>
      </c>
      <c r="H26" s="17">
        <v>25.838999999999999</v>
      </c>
      <c r="I26" s="16">
        <v>25.963000000000001</v>
      </c>
      <c r="J26" s="16">
        <v>26.102</v>
      </c>
      <c r="K26" s="16">
        <v>26.295000000000002</v>
      </c>
      <c r="L26" s="16">
        <v>26.402999999999999</v>
      </c>
      <c r="M26" s="16">
        <v>26.518999999999998</v>
      </c>
      <c r="N26" s="16">
        <v>26.721</v>
      </c>
    </row>
    <row r="27" spans="1:15" x14ac:dyDescent="0.2">
      <c r="A27" s="14">
        <v>1994</v>
      </c>
      <c r="B27" s="16">
        <f t="shared" ref="B27:B35" si="1">+N26</f>
        <v>26.721</v>
      </c>
      <c r="C27" s="16">
        <v>26.928000000000001</v>
      </c>
      <c r="D27" s="16">
        <v>27.067</v>
      </c>
      <c r="E27" s="16">
        <v>27.206</v>
      </c>
      <c r="F27" s="16">
        <v>27.338999999999999</v>
      </c>
      <c r="G27" s="16">
        <v>27.471</v>
      </c>
      <c r="H27" s="17">
        <v>27.609000000000002</v>
      </c>
      <c r="I27" s="16">
        <v>27.731000000000002</v>
      </c>
      <c r="J27" s="16">
        <v>27.861000000000001</v>
      </c>
      <c r="K27" s="16">
        <v>28.059000000000001</v>
      </c>
      <c r="L27" s="16">
        <v>28.206</v>
      </c>
      <c r="M27" s="16">
        <v>28.356999999999999</v>
      </c>
      <c r="N27" s="16">
        <v>28.606000000000002</v>
      </c>
    </row>
    <row r="28" spans="1:15" x14ac:dyDescent="0.2">
      <c r="A28" s="15">
        <v>1995</v>
      </c>
      <c r="B28" s="16">
        <f t="shared" si="1"/>
        <v>28.606000000000002</v>
      </c>
      <c r="C28" s="18">
        <v>29.681999999999999</v>
      </c>
      <c r="D28" s="18">
        <v>30.94</v>
      </c>
      <c r="E28" s="18">
        <v>32.764000000000003</v>
      </c>
      <c r="F28" s="18">
        <v>35.375</v>
      </c>
      <c r="G28" s="18">
        <v>36.853000000000002</v>
      </c>
      <c r="H28" s="19">
        <v>38.023000000000003</v>
      </c>
      <c r="I28" s="18">
        <v>37.798000000000002</v>
      </c>
      <c r="J28" s="18">
        <v>39.442</v>
      </c>
      <c r="K28" s="18">
        <v>40.258000000000003</v>
      </c>
      <c r="L28" s="18">
        <v>41.085999999999999</v>
      </c>
      <c r="M28" s="18">
        <v>42.098999999999997</v>
      </c>
      <c r="N28" s="18">
        <v>43.470999999999997</v>
      </c>
    </row>
    <row r="29" spans="1:15" x14ac:dyDescent="0.2">
      <c r="A29" s="14">
        <v>1996</v>
      </c>
      <c r="B29" s="16">
        <f t="shared" si="1"/>
        <v>43.470999999999997</v>
      </c>
      <c r="C29" s="16">
        <v>45.033000000000001</v>
      </c>
      <c r="D29" s="16">
        <v>46.084000000000003</v>
      </c>
      <c r="E29" s="16">
        <v>47.098999999999997</v>
      </c>
      <c r="F29" s="16">
        <v>48.438000000000002</v>
      </c>
      <c r="G29" s="16">
        <v>49.320999999999998</v>
      </c>
      <c r="H29" s="17">
        <v>50.124000000000002</v>
      </c>
      <c r="I29" s="16">
        <v>50.835999999999999</v>
      </c>
      <c r="J29" s="16">
        <v>51.512</v>
      </c>
      <c r="K29" s="16">
        <v>52.335999999999999</v>
      </c>
      <c r="L29" s="16">
        <v>52.988999999999997</v>
      </c>
      <c r="M29" s="16">
        <v>53.792000000000002</v>
      </c>
      <c r="N29" s="16">
        <v>55.514000000000003</v>
      </c>
    </row>
    <row r="30" spans="1:15" x14ac:dyDescent="0.2">
      <c r="A30" s="14">
        <v>1997</v>
      </c>
      <c r="B30" s="16">
        <f t="shared" si="1"/>
        <v>55.514000000000003</v>
      </c>
      <c r="C30" s="16">
        <v>56.942</v>
      </c>
      <c r="D30" s="16">
        <v>57.898000000000003</v>
      </c>
      <c r="E30" s="16">
        <v>58.619</v>
      </c>
      <c r="F30" s="16">
        <v>59.252000000000002</v>
      </c>
      <c r="G30" s="16">
        <v>59.792999999999999</v>
      </c>
      <c r="H30" s="17">
        <v>60.323999999999998</v>
      </c>
      <c r="I30" s="16">
        <v>60.848999999999997</v>
      </c>
      <c r="J30" s="16">
        <v>61.39</v>
      </c>
      <c r="K30" s="16">
        <v>62.155000000000001</v>
      </c>
      <c r="L30" s="16">
        <v>62.652000000000001</v>
      </c>
      <c r="M30" s="16">
        <v>63.351999999999997</v>
      </c>
      <c r="N30" s="16">
        <v>64.239999999999995</v>
      </c>
      <c r="O30" s="5"/>
    </row>
    <row r="31" spans="1:15" x14ac:dyDescent="0.2">
      <c r="A31" s="14">
        <v>1998</v>
      </c>
      <c r="B31" s="16">
        <f t="shared" si="1"/>
        <v>64.239999999999995</v>
      </c>
      <c r="C31" s="16">
        <v>65.638000000000005</v>
      </c>
      <c r="D31" s="16">
        <v>66.787000000000006</v>
      </c>
      <c r="E31" s="16">
        <v>67.569000000000003</v>
      </c>
      <c r="F31" s="16">
        <v>68.200999999999993</v>
      </c>
      <c r="G31" s="16">
        <v>68.745000000000005</v>
      </c>
      <c r="H31" s="17">
        <v>69.557000000000002</v>
      </c>
      <c r="I31" s="16">
        <v>70.227999999999994</v>
      </c>
      <c r="J31" s="16">
        <v>70.903000000000006</v>
      </c>
      <c r="K31" s="16">
        <v>72.052999999999997</v>
      </c>
      <c r="L31" s="16">
        <v>73.084999999999994</v>
      </c>
      <c r="M31" s="16">
        <v>74.38</v>
      </c>
      <c r="N31" s="16">
        <v>76.194000000000003</v>
      </c>
    </row>
    <row r="32" spans="1:15" x14ac:dyDescent="0.2">
      <c r="A32" s="14">
        <v>1999</v>
      </c>
      <c r="B32" s="16">
        <f t="shared" si="1"/>
        <v>76.194000000000003</v>
      </c>
      <c r="C32" s="16">
        <v>78.119</v>
      </c>
      <c r="D32" s="16">
        <v>79.168999999999997</v>
      </c>
      <c r="E32" s="16">
        <v>79.903999999999996</v>
      </c>
      <c r="F32" s="16">
        <v>80.637</v>
      </c>
      <c r="G32" s="16">
        <v>81.122</v>
      </c>
      <c r="H32" s="17">
        <v>81.655000000000001</v>
      </c>
      <c r="I32" s="16">
        <v>82.194999999999993</v>
      </c>
      <c r="J32" s="16">
        <v>82.658000000000001</v>
      </c>
      <c r="K32" s="16">
        <v>83.456000000000003</v>
      </c>
      <c r="L32" s="16">
        <v>83.984999999999999</v>
      </c>
      <c r="M32" s="16">
        <v>84.731999999999999</v>
      </c>
      <c r="N32" s="16">
        <v>85.581000000000003</v>
      </c>
    </row>
    <row r="33" spans="1:17" x14ac:dyDescent="0.2">
      <c r="A33" s="14">
        <v>2000</v>
      </c>
      <c r="B33" s="16">
        <f t="shared" si="1"/>
        <v>85.581000000000003</v>
      </c>
      <c r="C33" s="16">
        <v>86.73</v>
      </c>
      <c r="D33" s="16">
        <v>87.498999999999995</v>
      </c>
      <c r="E33" s="16">
        <v>87.983999999999995</v>
      </c>
      <c r="F33" s="16">
        <v>88.484999999999999</v>
      </c>
      <c r="G33" s="16">
        <v>88.816000000000003</v>
      </c>
      <c r="H33" s="17">
        <v>89.341999999999999</v>
      </c>
      <c r="I33" s="16">
        <v>89.69</v>
      </c>
      <c r="J33" s="16">
        <v>90.183000000000007</v>
      </c>
      <c r="K33" s="16">
        <v>90.841999999999999</v>
      </c>
      <c r="L33" s="16">
        <v>91.466999999999999</v>
      </c>
      <c r="M33" s="16">
        <v>92.248999999999995</v>
      </c>
      <c r="N33" s="16">
        <v>93.248000000000005</v>
      </c>
    </row>
    <row r="34" spans="1:17" x14ac:dyDescent="0.2">
      <c r="A34" s="14">
        <v>2001</v>
      </c>
      <c r="B34" s="16">
        <f t="shared" si="1"/>
        <v>93.248000000000005</v>
      </c>
      <c r="C34" s="16">
        <v>93.765000000000001</v>
      </c>
      <c r="D34" s="16">
        <v>93.703000000000003</v>
      </c>
      <c r="E34" s="16">
        <v>94.296999999999997</v>
      </c>
      <c r="F34" s="16">
        <v>94.772000000000006</v>
      </c>
      <c r="G34" s="16">
        <v>94.99</v>
      </c>
      <c r="H34" s="17">
        <v>95.215000000000003</v>
      </c>
      <c r="I34" s="16">
        <v>94.966999999999999</v>
      </c>
      <c r="J34" s="16">
        <v>95.53</v>
      </c>
      <c r="K34" s="16">
        <v>96.418999999999997</v>
      </c>
      <c r="L34" s="16">
        <v>96.855000000000004</v>
      </c>
      <c r="M34" s="16">
        <v>97.22</v>
      </c>
      <c r="N34" s="16">
        <v>97.353999999999999</v>
      </c>
    </row>
    <row r="35" spans="1:17" x14ac:dyDescent="0.2">
      <c r="A35" s="14">
        <v>2002</v>
      </c>
      <c r="B35" s="16">
        <f t="shared" si="1"/>
        <v>97.353999999999999</v>
      </c>
      <c r="C35" s="16">
        <v>98.253</v>
      </c>
      <c r="D35" s="16">
        <v>98.19</v>
      </c>
      <c r="E35" s="16">
        <v>98.691999999999993</v>
      </c>
      <c r="F35" s="16">
        <v>99.230999999999995</v>
      </c>
      <c r="G35" s="16">
        <v>99.432000000000002</v>
      </c>
      <c r="H35" s="17">
        <v>99.917000000000002</v>
      </c>
      <c r="I35" s="16">
        <v>100.20399999999999</v>
      </c>
      <c r="J35" s="16">
        <v>100.58499999999999</v>
      </c>
      <c r="K35" s="16">
        <v>101.19</v>
      </c>
      <c r="L35" s="16">
        <v>101.636</v>
      </c>
      <c r="M35" s="16">
        <v>102.458</v>
      </c>
      <c r="N35" s="16">
        <v>102.904</v>
      </c>
    </row>
    <row r="36" spans="1:17" x14ac:dyDescent="0.2">
      <c r="A36" s="14">
        <v>2003</v>
      </c>
      <c r="B36" s="16">
        <f>+N35</f>
        <v>102.904</v>
      </c>
      <c r="C36" s="20">
        <v>103.32</v>
      </c>
      <c r="D36" s="20">
        <v>103.607</v>
      </c>
      <c r="E36" s="20">
        <v>104.261</v>
      </c>
      <c r="F36" s="20">
        <v>104.43899999999999</v>
      </c>
      <c r="G36" s="20">
        <v>104.102</v>
      </c>
      <c r="H36" s="21">
        <v>104.188</v>
      </c>
      <c r="I36" s="20">
        <v>104.339</v>
      </c>
      <c r="J36" s="20">
        <v>104.652</v>
      </c>
      <c r="K36" s="20">
        <v>105.27500000000001</v>
      </c>
      <c r="L36" s="20">
        <v>105.661</v>
      </c>
      <c r="M36" s="20">
        <v>106.538</v>
      </c>
      <c r="N36" s="20">
        <v>106.996</v>
      </c>
      <c r="O36">
        <f>TRUNC(N36/N35,4)</f>
        <v>1.0397000000000001</v>
      </c>
      <c r="P36" s="6">
        <f t="shared" ref="P36:P46" si="2">+O36-1</f>
        <v>3.9700000000000069E-2</v>
      </c>
    </row>
    <row r="37" spans="1:17" s="7" customFormat="1" x14ac:dyDescent="0.2">
      <c r="A37" s="14">
        <v>2004</v>
      </c>
      <c r="B37" s="22">
        <v>73.783729734575999</v>
      </c>
      <c r="C37" s="22">
        <v>74.2423093102</v>
      </c>
      <c r="D37" s="22">
        <v>74.686407425541006</v>
      </c>
      <c r="E37" s="22">
        <v>74.939488183818</v>
      </c>
      <c r="F37" s="22">
        <v>75.052581492694003</v>
      </c>
      <c r="G37" s="22">
        <v>74.864322509016006</v>
      </c>
      <c r="H37" s="17">
        <v>74.984311751359996</v>
      </c>
      <c r="I37" s="22">
        <v>75.180845855198996</v>
      </c>
      <c r="J37" s="22">
        <v>75.644942177597997</v>
      </c>
      <c r="K37" s="22">
        <v>76.270403343148999</v>
      </c>
      <c r="L37" s="22">
        <v>76.798631846800006</v>
      </c>
      <c r="M37" s="22">
        <v>77.453745526263006</v>
      </c>
      <c r="N37" s="22">
        <v>77.613731182722006</v>
      </c>
      <c r="O37" s="7">
        <f t="shared" ref="O37:O42" si="3">TRUNC(N37/N36,4)</f>
        <v>0.72529999999999994</v>
      </c>
      <c r="P37" s="8">
        <f t="shared" si="2"/>
        <v>-0.27470000000000006</v>
      </c>
      <c r="Q37" s="7" t="s">
        <v>21</v>
      </c>
    </row>
    <row r="38" spans="1:17" x14ac:dyDescent="0.2">
      <c r="A38" s="14">
        <v>2005</v>
      </c>
      <c r="B38" s="16">
        <v>77.613731182722006</v>
      </c>
      <c r="C38" s="16">
        <v>77.616489556109002</v>
      </c>
      <c r="D38" s="16">
        <v>77.875087061160002</v>
      </c>
      <c r="E38" s="16">
        <v>78.226090074683</v>
      </c>
      <c r="F38" s="16">
        <v>78.504685786791995</v>
      </c>
      <c r="G38" s="16">
        <v>78.307462089606005</v>
      </c>
      <c r="H38" s="17">
        <v>78.232296414803997</v>
      </c>
      <c r="I38" s="16">
        <v>78.538475860784999</v>
      </c>
      <c r="J38" s="16">
        <v>78.632260555949998</v>
      </c>
      <c r="K38" s="16">
        <v>78.947404715439006</v>
      </c>
      <c r="L38" s="16">
        <v>79.141180445890996</v>
      </c>
      <c r="M38" s="16">
        <v>79.710784550350994</v>
      </c>
      <c r="N38" s="23">
        <v>80.200395826581001</v>
      </c>
      <c r="O38">
        <f t="shared" si="3"/>
        <v>1.0333000000000001</v>
      </c>
      <c r="P38" s="6">
        <f t="shared" si="2"/>
        <v>3.3300000000000107E-2</v>
      </c>
    </row>
    <row r="39" spans="1:17" x14ac:dyDescent="0.2">
      <c r="A39" s="14">
        <v>2006</v>
      </c>
      <c r="B39" s="23">
        <v>80.200395826581001</v>
      </c>
      <c r="C39" s="16">
        <v>80.670698489100999</v>
      </c>
      <c r="D39" s="16">
        <v>80.794135698179005</v>
      </c>
      <c r="E39" s="16">
        <v>80.895505920158996</v>
      </c>
      <c r="F39" s="16">
        <v>81.014115975809005</v>
      </c>
      <c r="G39" s="16">
        <v>80.653458655430995</v>
      </c>
      <c r="H39" s="17">
        <v>80.723107583458003</v>
      </c>
      <c r="I39" s="16">
        <v>80.944467047781998</v>
      </c>
      <c r="J39" s="16">
        <v>81.357533462516997</v>
      </c>
      <c r="K39" s="16">
        <v>82.178839138559994</v>
      </c>
      <c r="L39" s="16">
        <v>82.538117272245003</v>
      </c>
      <c r="M39" s="16">
        <v>82.971181894037002</v>
      </c>
      <c r="N39" s="16">
        <v>83.451138863411998</v>
      </c>
      <c r="O39">
        <f t="shared" si="3"/>
        <v>1.0405</v>
      </c>
      <c r="P39" s="6">
        <f t="shared" si="2"/>
        <v>4.049999999999998E-2</v>
      </c>
    </row>
    <row r="40" spans="1:17" x14ac:dyDescent="0.2">
      <c r="A40" s="14">
        <v>2007</v>
      </c>
      <c r="B40" s="23">
        <v>83.451138863411998</v>
      </c>
      <c r="C40" s="16">
        <v>83.882134705164006</v>
      </c>
      <c r="D40" s="16">
        <v>84.116596443077995</v>
      </c>
      <c r="E40" s="16">
        <v>84.298649086634001</v>
      </c>
      <c r="F40" s="16">
        <v>84.248308772317003</v>
      </c>
      <c r="G40" s="16">
        <v>83.837311137621995</v>
      </c>
      <c r="H40" s="17">
        <v>83.937991766254996</v>
      </c>
      <c r="I40" s="16">
        <v>84.294511526552995</v>
      </c>
      <c r="J40" s="16">
        <v>84.637929013261001</v>
      </c>
      <c r="K40" s="16">
        <v>85.295111472765001</v>
      </c>
      <c r="L40" s="16">
        <v>85.627495465924</v>
      </c>
      <c r="M40" s="16">
        <v>86.231579237724006</v>
      </c>
      <c r="N40" s="16">
        <v>86.588098998020996</v>
      </c>
      <c r="O40">
        <f t="shared" si="3"/>
        <v>1.0375000000000001</v>
      </c>
      <c r="P40" s="6">
        <f t="shared" si="2"/>
        <v>3.7500000000000089E-2</v>
      </c>
      <c r="Q40" s="1"/>
    </row>
    <row r="41" spans="1:17" x14ac:dyDescent="0.2">
      <c r="A41" s="14">
        <v>2008</v>
      </c>
      <c r="B41" s="23">
        <v>86.588098998020996</v>
      </c>
      <c r="C41" s="16">
        <v>86.989442325859997</v>
      </c>
      <c r="D41" s="16">
        <v>87.248039830912006</v>
      </c>
      <c r="E41" s="16">
        <v>87.880396929930001</v>
      </c>
      <c r="F41" s="16">
        <v>88.080379000503001</v>
      </c>
      <c r="G41" s="16">
        <v>87.985215118645002</v>
      </c>
      <c r="H41" s="17">
        <v>88.349320405756998</v>
      </c>
      <c r="I41" s="16">
        <v>88.841690055374002</v>
      </c>
      <c r="J41" s="16">
        <v>89.354747505396006</v>
      </c>
      <c r="K41" s="16">
        <v>89.963658430622999</v>
      </c>
      <c r="L41" s="16">
        <v>90.576706915931993</v>
      </c>
      <c r="M41" s="16">
        <v>91.606269782709006</v>
      </c>
      <c r="N41" s="16">
        <v>92.240695661768001</v>
      </c>
      <c r="O41">
        <f t="shared" si="3"/>
        <v>1.0651999999999999</v>
      </c>
      <c r="P41" s="6">
        <f t="shared" si="2"/>
        <v>6.5199999999999925E-2</v>
      </c>
      <c r="Q41" s="2"/>
    </row>
    <row r="42" spans="1:17" x14ac:dyDescent="0.2">
      <c r="A42" s="14">
        <v>2009</v>
      </c>
      <c r="B42" s="23">
        <v>92.240695661768001</v>
      </c>
      <c r="C42" s="16">
        <v>92.454469599277004</v>
      </c>
      <c r="D42" s="16">
        <v>92.658589229930996</v>
      </c>
      <c r="E42" s="16">
        <v>93.19164488701</v>
      </c>
      <c r="F42" s="16">
        <v>93.517822540048002</v>
      </c>
      <c r="G42" s="16">
        <v>93.245433168060998</v>
      </c>
      <c r="H42" s="17">
        <v>93.417141911415001</v>
      </c>
      <c r="I42" s="16">
        <v>93.671601856384996</v>
      </c>
      <c r="J42" s="16">
        <v>93.895719694096002</v>
      </c>
      <c r="K42" s="16">
        <v>94.366711949963005</v>
      </c>
      <c r="L42" s="16">
        <v>94.652203595540001</v>
      </c>
      <c r="M42" s="16">
        <v>95.143194058464005</v>
      </c>
      <c r="N42" s="16">
        <v>95.536951859487999</v>
      </c>
      <c r="O42">
        <f t="shared" si="3"/>
        <v>1.0357000000000001</v>
      </c>
      <c r="P42" s="6">
        <f t="shared" si="2"/>
        <v>3.5700000000000065E-2</v>
      </c>
      <c r="Q42" s="2"/>
    </row>
    <row r="43" spans="1:17" s="9" customFormat="1" x14ac:dyDescent="0.2">
      <c r="A43" s="14">
        <v>2010</v>
      </c>
      <c r="B43" s="24">
        <f>+N42</f>
        <v>95.536951859487999</v>
      </c>
      <c r="C43" s="24">
        <v>96.575479439774</v>
      </c>
      <c r="D43" s="24">
        <v>97.134050050685005</v>
      </c>
      <c r="E43" s="24">
        <v>97.823643397488993</v>
      </c>
      <c r="F43" s="24">
        <v>97.511947204733005</v>
      </c>
      <c r="G43" s="24">
        <v>96.897519532732005</v>
      </c>
      <c r="H43" s="25">
        <v>96.867177425471994</v>
      </c>
      <c r="I43" s="24">
        <v>97.077503396246996</v>
      </c>
      <c r="J43" s="24">
        <v>97.347134394847004</v>
      </c>
      <c r="K43" s="24">
        <v>97.857433470000004</v>
      </c>
      <c r="L43" s="24">
        <v>98.461517243282003</v>
      </c>
      <c r="M43" s="24">
        <v>99.250412032024997</v>
      </c>
      <c r="N43" s="24">
        <v>99.742092088296005</v>
      </c>
      <c r="O43" s="10">
        <f>TRUNC(N43/N42,4)</f>
        <v>1.044</v>
      </c>
      <c r="P43" s="10">
        <f t="shared" si="2"/>
        <v>4.4000000000000039E-2</v>
      </c>
      <c r="Q43" s="2"/>
    </row>
    <row r="44" spans="1:17" x14ac:dyDescent="0.2">
      <c r="A44" s="14">
        <v>2011</v>
      </c>
      <c r="B44" s="23">
        <f>+N42</f>
        <v>95.536951859487999</v>
      </c>
      <c r="C44" s="23">
        <v>100.22799999999999</v>
      </c>
      <c r="D44" s="23">
        <v>100.604</v>
      </c>
      <c r="E44" s="23">
        <v>100.797</v>
      </c>
      <c r="F44" s="23">
        <v>100.789</v>
      </c>
      <c r="G44" s="23">
        <v>100.04600000000001</v>
      </c>
      <c r="H44" s="26">
        <v>100.041</v>
      </c>
      <c r="I44" s="23">
        <v>100.521</v>
      </c>
      <c r="J44" s="23">
        <v>100.68</v>
      </c>
      <c r="K44" s="23">
        <v>100.92700000000001</v>
      </c>
      <c r="L44" s="23">
        <v>101.608</v>
      </c>
      <c r="M44" s="23">
        <v>102.70699999999999</v>
      </c>
      <c r="N44" s="23">
        <v>103.551</v>
      </c>
      <c r="O44" s="6">
        <f>TRUNC(N44/N42,4)</f>
        <v>1.0838000000000001</v>
      </c>
      <c r="P44" s="11">
        <f t="shared" si="2"/>
        <v>8.3800000000000097E-2</v>
      </c>
      <c r="Q44" s="2"/>
    </row>
    <row r="45" spans="1:17" x14ac:dyDescent="0.2">
      <c r="A45" s="14">
        <v>2012</v>
      </c>
      <c r="B45" s="23">
        <f>+N44</f>
        <v>103.551</v>
      </c>
      <c r="C45" s="23">
        <v>104.28400000000001</v>
      </c>
      <c r="D45" s="23">
        <v>104.496</v>
      </c>
      <c r="E45" s="23">
        <v>104.556</v>
      </c>
      <c r="F45" s="23">
        <v>104.22799999999999</v>
      </c>
      <c r="G45" s="23">
        <v>103.899</v>
      </c>
      <c r="H45" s="26">
        <v>104.378</v>
      </c>
      <c r="I45" s="23">
        <v>104.964</v>
      </c>
      <c r="J45" s="23">
        <v>105.279</v>
      </c>
      <c r="K45" s="23">
        <v>105.74299999999999</v>
      </c>
      <c r="L45" s="23">
        <v>106.27800000000001</v>
      </c>
      <c r="M45" s="16">
        <v>107</v>
      </c>
      <c r="N45" s="16">
        <v>107.246</v>
      </c>
      <c r="O45" s="6">
        <f>TRUNC(N45/N44,4)</f>
        <v>1.0356000000000001</v>
      </c>
      <c r="P45" s="11">
        <f t="shared" si="2"/>
        <v>3.5600000000000076E-2</v>
      </c>
      <c r="Q45" s="2"/>
    </row>
    <row r="46" spans="1:17" x14ac:dyDescent="0.2">
      <c r="A46" s="14">
        <v>2013</v>
      </c>
      <c r="B46" s="24">
        <f>+N45</f>
        <v>107.246</v>
      </c>
      <c r="C46" s="13">
        <v>107.678</v>
      </c>
      <c r="D46" s="24">
        <v>108.208</v>
      </c>
      <c r="E46" s="24">
        <v>109.002</v>
      </c>
      <c r="F46" s="13">
        <v>109.074</v>
      </c>
      <c r="G46" s="24">
        <v>108.711</v>
      </c>
      <c r="H46" s="25">
        <v>108.645</v>
      </c>
      <c r="I46" s="24">
        <v>108.60899999999999</v>
      </c>
      <c r="J46" s="24">
        <v>108.91800000000001</v>
      </c>
      <c r="K46" s="24">
        <v>109.328</v>
      </c>
      <c r="L46" s="24">
        <v>109.848</v>
      </c>
      <c r="M46" s="24">
        <v>110.872</v>
      </c>
      <c r="N46" s="24">
        <v>111.508</v>
      </c>
      <c r="O46" s="6">
        <f>TRUNC(J46/N45,4)</f>
        <v>1.0155000000000001</v>
      </c>
      <c r="P46" s="11">
        <f t="shared" si="2"/>
        <v>1.5500000000000069E-2</v>
      </c>
      <c r="Q46" s="2"/>
    </row>
    <row r="47" spans="1:17" x14ac:dyDescent="0.2">
      <c r="A47" s="14">
        <v>2014</v>
      </c>
      <c r="B47" s="23">
        <f>+N46</f>
        <v>111.508</v>
      </c>
      <c r="C47" s="23">
        <v>112.505</v>
      </c>
      <c r="D47" s="23">
        <v>112.79</v>
      </c>
      <c r="E47" s="23">
        <v>113.099</v>
      </c>
      <c r="F47" s="23">
        <v>112.88800000000001</v>
      </c>
      <c r="G47" s="23">
        <v>112.527</v>
      </c>
      <c r="H47" s="26">
        <v>112.72199999999999</v>
      </c>
      <c r="I47" s="23">
        <v>113.032</v>
      </c>
      <c r="J47" s="24">
        <v>113.438</v>
      </c>
      <c r="K47" s="24">
        <v>113.93899999999999</v>
      </c>
      <c r="L47" s="24">
        <v>114.569</v>
      </c>
      <c r="M47" s="24">
        <v>115.49299999999999</v>
      </c>
      <c r="N47" s="24">
        <v>116.059</v>
      </c>
      <c r="O47" s="2"/>
      <c r="P47" s="2"/>
      <c r="Q47" s="2"/>
    </row>
    <row r="48" spans="1:17" x14ac:dyDescent="0.2">
      <c r="A48" s="14">
        <v>2015</v>
      </c>
      <c r="B48" s="23">
        <v>116.059</v>
      </c>
      <c r="C48" s="23">
        <v>115.95399999999999</v>
      </c>
      <c r="D48" s="23">
        <v>116.17400000000001</v>
      </c>
      <c r="E48" s="23">
        <v>116.64700000000001</v>
      </c>
      <c r="F48" s="23">
        <v>116.345</v>
      </c>
      <c r="G48" s="23">
        <v>115.764</v>
      </c>
      <c r="H48" s="26">
        <v>115.958</v>
      </c>
      <c r="I48" s="23">
        <v>116.128</v>
      </c>
      <c r="J48" s="24">
        <v>116.373</v>
      </c>
      <c r="K48" s="24">
        <v>116.809</v>
      </c>
      <c r="L48" s="24">
        <v>117.41</v>
      </c>
      <c r="M48" s="24">
        <v>118.051</v>
      </c>
      <c r="N48" s="24">
        <v>118.532</v>
      </c>
      <c r="O48" s="2"/>
      <c r="P48" s="2"/>
      <c r="Q48" s="2"/>
    </row>
    <row r="49" spans="1:17" x14ac:dyDescent="0.2">
      <c r="A49" s="14">
        <v>2016</v>
      </c>
      <c r="B49" s="23">
        <v>118.532</v>
      </c>
      <c r="C49" s="23">
        <v>118.98</v>
      </c>
      <c r="D49" s="23">
        <v>119.505</v>
      </c>
      <c r="E49" s="23">
        <v>119.681</v>
      </c>
      <c r="F49" s="23">
        <v>119.30200000000001</v>
      </c>
      <c r="G49" s="23">
        <v>118.77</v>
      </c>
      <c r="H49" s="26">
        <v>118.901</v>
      </c>
      <c r="I49" s="23">
        <v>119.211</v>
      </c>
      <c r="J49" s="24">
        <v>119.547</v>
      </c>
      <c r="K49" s="24">
        <v>120.277</v>
      </c>
      <c r="L49" s="24">
        <v>121.00700000000001</v>
      </c>
      <c r="M49" s="24">
        <v>121.953</v>
      </c>
      <c r="N49" s="24">
        <v>122.515</v>
      </c>
      <c r="O49" s="2"/>
      <c r="P49" s="2"/>
      <c r="Q49" s="2"/>
    </row>
    <row r="50" spans="1:17" x14ac:dyDescent="0.2">
      <c r="A50" s="14">
        <v>2017</v>
      </c>
      <c r="B50" s="24">
        <v>122.515</v>
      </c>
      <c r="C50" s="23">
        <v>124.598</v>
      </c>
      <c r="D50" s="23">
        <v>125.318</v>
      </c>
      <c r="E50">
        <v>126.087</v>
      </c>
      <c r="F50" s="23">
        <v>126.242</v>
      </c>
      <c r="G50" s="23"/>
      <c r="H50" s="26"/>
      <c r="I50" s="23"/>
      <c r="J50" s="24"/>
      <c r="K50" s="24"/>
      <c r="L50" s="24"/>
      <c r="M50" s="24"/>
      <c r="N50" s="24"/>
      <c r="O50" s="2"/>
      <c r="P50" s="2"/>
      <c r="Q50" s="2"/>
    </row>
    <row r="51" spans="1:17" x14ac:dyDescent="0.2">
      <c r="D51" s="28"/>
      <c r="H51" s="26"/>
      <c r="J51" s="27"/>
      <c r="L51" s="28"/>
      <c r="N51" s="27"/>
      <c r="O51" s="2"/>
      <c r="P51" s="2"/>
      <c r="Q51" s="2"/>
    </row>
    <row r="52" spans="1:17" x14ac:dyDescent="0.2">
      <c r="H52" s="26"/>
      <c r="O52" s="2"/>
      <c r="P52" s="2"/>
      <c r="Q52" s="2"/>
    </row>
    <row r="53" spans="1:17" x14ac:dyDescent="0.2">
      <c r="H53" s="26"/>
    </row>
    <row r="54" spans="1:17" x14ac:dyDescent="0.2">
      <c r="H54" s="26"/>
    </row>
    <row r="55" spans="1:17" x14ac:dyDescent="0.2">
      <c r="H55" s="26"/>
    </row>
    <row r="56" spans="1:17" x14ac:dyDescent="0.2">
      <c r="H56" s="26"/>
    </row>
    <row r="57" spans="1:17" x14ac:dyDescent="0.2">
      <c r="H57" s="26"/>
    </row>
    <row r="58" spans="1:17" x14ac:dyDescent="0.2">
      <c r="H58" s="26"/>
    </row>
    <row r="63" spans="1:17" x14ac:dyDescent="0.2">
      <c r="M63" t="s">
        <v>20</v>
      </c>
    </row>
    <row r="64" spans="1:17" x14ac:dyDescent="0.2">
      <c r="M64" t="s">
        <v>20</v>
      </c>
    </row>
    <row r="65" spans="13:16" x14ac:dyDescent="0.2">
      <c r="M65" t="s">
        <v>20</v>
      </c>
    </row>
    <row r="66" spans="13:16" x14ac:dyDescent="0.2">
      <c r="M66" t="s">
        <v>20</v>
      </c>
    </row>
    <row r="67" spans="13:16" x14ac:dyDescent="0.2">
      <c r="M67" t="s">
        <v>20</v>
      </c>
    </row>
    <row r="68" spans="13:16" x14ac:dyDescent="0.2">
      <c r="M68" t="s">
        <v>20</v>
      </c>
    </row>
    <row r="69" spans="13:16" x14ac:dyDescent="0.2">
      <c r="M69" t="s">
        <v>20</v>
      </c>
    </row>
    <row r="70" spans="13:16" x14ac:dyDescent="0.2">
      <c r="M70" t="s">
        <v>20</v>
      </c>
    </row>
    <row r="71" spans="13:16" x14ac:dyDescent="0.2">
      <c r="M71" t="s">
        <v>20</v>
      </c>
    </row>
    <row r="72" spans="13:16" x14ac:dyDescent="0.2">
      <c r="M72" t="s">
        <v>20</v>
      </c>
    </row>
    <row r="73" spans="13:16" x14ac:dyDescent="0.2">
      <c r="M73" t="s">
        <v>20</v>
      </c>
      <c r="P73" t="s">
        <v>20</v>
      </c>
    </row>
    <row r="188" spans="10:10" x14ac:dyDescent="0.2">
      <c r="J188">
        <f>INDICES!M497</f>
        <v>0</v>
      </c>
    </row>
    <row r="346" spans="5:5" x14ac:dyDescent="0.2">
      <c r="E346" s="12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2017</vt:lpstr>
      <vt:lpstr>INDICES</vt:lpstr>
      <vt:lpstr>'REPORTE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2017-06-05T19:11:01Z</cp:lastPrinted>
  <dcterms:created xsi:type="dcterms:W3CDTF">2014-04-01T16:50:44Z</dcterms:created>
  <dcterms:modified xsi:type="dcterms:W3CDTF">2017-06-06T16:37:12Z</dcterms:modified>
</cp:coreProperties>
</file>